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codeName="DieseArbeitsmappe" defaultThemeVersion="124226"/>
  <bookViews>
    <workbookView xWindow="240" yWindow="108" windowWidth="14808" windowHeight="8016"/>
  </bookViews>
  <sheets>
    <sheet name="Angaben zum Audit" sheetId="1" r:id="rId1"/>
    <sheet name="Maßnahmenplan" sheetId="2" r:id="rId2"/>
    <sheet name="Checkliste" sheetId="7" r:id="rId3"/>
    <sheet name="Erweiterung" sheetId="9" r:id="rId4"/>
    <sheet name="Einstellungen" sheetId="4" r:id="rId5"/>
  </sheets>
  <definedNames>
    <definedName name="_AZeit" localSheetId="3">Einstellungen!#REF!</definedName>
    <definedName name="_AZeit">Einstellungen!#REF!</definedName>
    <definedName name="_Betriebsname">Einstellungen!$C$7</definedName>
    <definedName name="_Betriesname">Einstellungen!$C$7</definedName>
    <definedName name="_chbx">Einstellungen!$C$9</definedName>
    <definedName name="_Datum">Einstellungen!$C$6</definedName>
    <definedName name="_Dauer" localSheetId="3">Einstellungen!#REF!</definedName>
    <definedName name="_Dauer">Einstellungen!#REF!</definedName>
    <definedName name="_EZeit" localSheetId="3">Einstellungen!#REF!</definedName>
    <definedName name="_EZeit">Einstellungen!#REF!</definedName>
    <definedName name="_grau">Einstellungen!$C$10</definedName>
    <definedName name="_KO">Einstellungen!$C$14</definedName>
    <definedName name="_lAbw">Einstellungen!$C$12</definedName>
    <definedName name="_RLV">Einstellungen!$C$8</definedName>
    <definedName name="_sAbw">Einstellungen!$C$13</definedName>
    <definedName name="_Version" localSheetId="3">Einstellungen!#REF!</definedName>
    <definedName name="_Version">Einstellungen!#REF!</definedName>
    <definedName name="_xlnm.Print_Titles" localSheetId="2">Checkliste!$1:$7</definedName>
    <definedName name="_xlnm.Print_Titles" localSheetId="3">Erweiterung!$1:$7</definedName>
    <definedName name="Print_Area" localSheetId="0">'Angaben zum Audit'!$A$1:$M$33</definedName>
    <definedName name="Print_Area" localSheetId="2">Checkliste!$A$1:$N$118</definedName>
    <definedName name="Print_Area" localSheetId="3">Erweiterung!$A$1:$N$156</definedName>
    <definedName name="Print_Area" localSheetId="1">Maßnahmenplan!$A$1:$J$24</definedName>
    <definedName name="Print_Titles" localSheetId="2">Checkliste!$1:$7</definedName>
    <definedName name="Print_Titles" localSheetId="3">Erweiterung!$1:$7</definedName>
  </definedNames>
  <calcPr calcId="162913"/>
</workbook>
</file>

<file path=xl/calcChain.xml><?xml version="1.0" encoding="utf-8"?>
<calcChain xmlns="http://schemas.openxmlformats.org/spreadsheetml/2006/main">
  <c r="B119" i="9" l="1"/>
  <c r="B118" i="9"/>
  <c r="B117" i="9"/>
  <c r="B116" i="9"/>
  <c r="B113" i="9"/>
  <c r="B112" i="9"/>
  <c r="B111" i="9"/>
  <c r="B110" i="9"/>
  <c r="B109" i="9"/>
  <c r="B108" i="9"/>
  <c r="B107" i="9"/>
  <c r="B106" i="9"/>
  <c r="B105" i="9"/>
  <c r="B104" i="9"/>
  <c r="B103" i="9"/>
  <c r="B102" i="9"/>
  <c r="B101" i="9"/>
  <c r="B100" i="9"/>
  <c r="B99" i="9"/>
  <c r="B98" i="9"/>
  <c r="B97" i="9"/>
  <c r="B96" i="9"/>
  <c r="B95" i="9"/>
  <c r="B94" i="9"/>
  <c r="B93" i="9"/>
  <c r="B92" i="9"/>
  <c r="B91" i="9"/>
  <c r="B90" i="9"/>
  <c r="B89" i="9"/>
  <c r="B88" i="9"/>
  <c r="B87" i="9"/>
  <c r="B86" i="9"/>
  <c r="B85" i="9"/>
  <c r="B84" i="9"/>
  <c r="B83" i="9"/>
  <c r="B82" i="9"/>
  <c r="B81" i="9"/>
  <c r="B78" i="9"/>
  <c r="B77" i="9"/>
  <c r="B76" i="9"/>
  <c r="B75" i="9"/>
  <c r="B74" i="9"/>
  <c r="B73" i="9"/>
  <c r="B72" i="9"/>
  <c r="B71" i="9"/>
  <c r="B70" i="9"/>
  <c r="B69" i="9"/>
  <c r="B68" i="9"/>
  <c r="B67" i="9"/>
  <c r="B66" i="9"/>
  <c r="B65" i="9"/>
  <c r="B64" i="9"/>
  <c r="B63" i="9"/>
  <c r="B62" i="9"/>
  <c r="B61" i="9"/>
  <c r="B60" i="9"/>
  <c r="B59" i="9"/>
  <c r="B58" i="9"/>
  <c r="B57" i="9"/>
  <c r="B56" i="9"/>
  <c r="B55" i="9"/>
  <c r="B54" i="9"/>
  <c r="B53" i="9"/>
  <c r="B52" i="9"/>
  <c r="B51" i="9"/>
  <c r="B50" i="9"/>
  <c r="B49" i="9"/>
  <c r="B48" i="9"/>
  <c r="B47" i="9"/>
  <c r="B46" i="9"/>
  <c r="B43" i="9"/>
  <c r="B42" i="9"/>
  <c r="B41" i="9"/>
  <c r="B40" i="9"/>
  <c r="B39" i="9"/>
  <c r="B38" i="9"/>
  <c r="B37" i="9"/>
  <c r="B36" i="9"/>
  <c r="B35" i="9"/>
  <c r="B34" i="9"/>
  <c r="B33" i="9"/>
  <c r="B30" i="9"/>
  <c r="B29" i="9"/>
  <c r="B28" i="9"/>
  <c r="B27" i="9"/>
  <c r="B26" i="9"/>
  <c r="B25" i="9"/>
  <c r="B24" i="9"/>
  <c r="B23" i="9"/>
  <c r="B22" i="9"/>
  <c r="B21" i="9"/>
  <c r="B20" i="9"/>
  <c r="B17" i="9"/>
  <c r="B16" i="9"/>
  <c r="B15" i="9"/>
  <c r="B14" i="9"/>
  <c r="B13" i="9"/>
  <c r="B12" i="9"/>
  <c r="B11" i="9"/>
  <c r="B10" i="9"/>
  <c r="C88" i="9" l="1"/>
  <c r="D88" i="9"/>
  <c r="C89" i="9"/>
  <c r="D89" i="9" l="1"/>
  <c r="C53" i="9" l="1"/>
  <c r="D53" i="9"/>
  <c r="C54" i="9"/>
  <c r="C36" i="9"/>
  <c r="C23" i="9"/>
  <c r="D36" i="9" l="1"/>
  <c r="D54" i="9"/>
  <c r="D23" i="9"/>
  <c r="C55" i="7" l="1"/>
  <c r="B55" i="7" s="1"/>
  <c r="C54" i="7"/>
  <c r="B54" i="7" s="1"/>
  <c r="D55" i="7" l="1"/>
  <c r="D54" i="7"/>
  <c r="C18" i="7" l="1"/>
  <c r="B18" i="7" s="1"/>
  <c r="D18" i="7" l="1"/>
  <c r="C24" i="7"/>
  <c r="B24" i="7" s="1"/>
  <c r="D24" i="7" l="1"/>
  <c r="C15" i="9"/>
  <c r="D15" i="9" l="1"/>
  <c r="C81" i="9"/>
  <c r="C82" i="9"/>
  <c r="C83" i="9"/>
  <c r="D83" i="9" s="1"/>
  <c r="C84" i="9"/>
  <c r="D84" i="9" s="1"/>
  <c r="C85" i="9"/>
  <c r="D85" i="9" s="1"/>
  <c r="C86" i="9"/>
  <c r="D86" i="9" s="1"/>
  <c r="C87" i="9"/>
  <c r="D87" i="9" s="1"/>
  <c r="C90" i="9"/>
  <c r="D90" i="9" s="1"/>
  <c r="C91" i="9"/>
  <c r="C92" i="9"/>
  <c r="C93" i="9"/>
  <c r="D93" i="9" s="1"/>
  <c r="D81" i="9"/>
  <c r="C94" i="9"/>
  <c r="C95" i="9"/>
  <c r="C96" i="9"/>
  <c r="C97" i="9"/>
  <c r="C98" i="9"/>
  <c r="C99" i="9"/>
  <c r="D99" i="9" s="1"/>
  <c r="C100" i="9"/>
  <c r="D100" i="9" s="1"/>
  <c r="C101" i="9"/>
  <c r="C102" i="9"/>
  <c r="D102" i="9" s="1"/>
  <c r="C103" i="9"/>
  <c r="D94" i="9"/>
  <c r="C104" i="9"/>
  <c r="C105" i="9"/>
  <c r="C106" i="9"/>
  <c r="C107" i="9"/>
  <c r="D107" i="9" s="1"/>
  <c r="C108" i="9"/>
  <c r="D108" i="9" s="1"/>
  <c r="C76" i="9"/>
  <c r="C46" i="9"/>
  <c r="C47" i="9"/>
  <c r="C48" i="9"/>
  <c r="C49" i="9"/>
  <c r="C50" i="9"/>
  <c r="D50" i="9" s="1"/>
  <c r="C51" i="9"/>
  <c r="D51" i="9" s="1"/>
  <c r="C52" i="9"/>
  <c r="D52" i="9" s="1"/>
  <c r="C55" i="9"/>
  <c r="D55" i="9" s="1"/>
  <c r="C56" i="9"/>
  <c r="C57" i="9"/>
  <c r="D48" i="9"/>
  <c r="C58" i="9"/>
  <c r="C59" i="9"/>
  <c r="C60" i="9"/>
  <c r="C61" i="9"/>
  <c r="C62" i="9"/>
  <c r="D62" i="9" s="1"/>
  <c r="C63" i="9"/>
  <c r="D63" i="9" s="1"/>
  <c r="C64" i="9"/>
  <c r="C65" i="9"/>
  <c r="D65" i="9" s="1"/>
  <c r="C66" i="9"/>
  <c r="C67" i="9"/>
  <c r="C68" i="9"/>
  <c r="C69" i="9"/>
  <c r="C70" i="9"/>
  <c r="D70" i="9" s="1"/>
  <c r="C71" i="9"/>
  <c r="C72" i="9"/>
  <c r="C33" i="9"/>
  <c r="C34" i="9"/>
  <c r="C35" i="9"/>
  <c r="D35" i="9" s="1"/>
  <c r="C37" i="9"/>
  <c r="D37" i="9" s="1"/>
  <c r="C38" i="9"/>
  <c r="C22" i="9"/>
  <c r="C24" i="9"/>
  <c r="C21" i="9"/>
  <c r="C25" i="9"/>
  <c r="C26" i="9"/>
  <c r="D26" i="9" s="1"/>
  <c r="C12" i="9"/>
  <c r="C13" i="9"/>
  <c r="D98" i="9" l="1"/>
  <c r="D92" i="9"/>
  <c r="D61" i="9"/>
  <c r="D91" i="9"/>
  <c r="D101" i="9"/>
  <c r="D82" i="9"/>
  <c r="D97" i="9"/>
  <c r="D49" i="9"/>
  <c r="D59" i="9"/>
  <c r="D96" i="9"/>
  <c r="D103" i="9"/>
  <c r="D95" i="9"/>
  <c r="D106" i="9"/>
  <c r="D105" i="9"/>
  <c r="D104" i="9"/>
  <c r="D67" i="9"/>
  <c r="D60" i="9"/>
  <c r="D57" i="9"/>
  <c r="D66" i="9"/>
  <c r="D56" i="9"/>
  <c r="D76" i="9"/>
  <c r="D64" i="9"/>
  <c r="D58" i="9"/>
  <c r="D47" i="9"/>
  <c r="D46" i="9"/>
  <c r="D71" i="9"/>
  <c r="D72" i="9"/>
  <c r="D38" i="9"/>
  <c r="D69" i="9"/>
  <c r="D68" i="9"/>
  <c r="D34" i="9"/>
  <c r="D33" i="9"/>
  <c r="D22" i="9"/>
  <c r="D13" i="9"/>
  <c r="D24" i="9"/>
  <c r="D21" i="9"/>
  <c r="D25" i="9"/>
  <c r="D12" i="9"/>
  <c r="C48" i="7" l="1"/>
  <c r="B48" i="7" s="1"/>
  <c r="C49" i="7"/>
  <c r="B49" i="7" s="1"/>
  <c r="C50" i="7"/>
  <c r="B50" i="7" s="1"/>
  <c r="C51" i="7"/>
  <c r="B51" i="7" s="1"/>
  <c r="C52" i="7"/>
  <c r="B52" i="7" s="1"/>
  <c r="C53" i="7"/>
  <c r="B53" i="7" s="1"/>
  <c r="C56" i="7"/>
  <c r="B56" i="7" s="1"/>
  <c r="C57" i="7"/>
  <c r="D57" i="7" s="1"/>
  <c r="C23" i="7"/>
  <c r="B23" i="7" s="1"/>
  <c r="C25" i="7"/>
  <c r="B25" i="7" s="1"/>
  <c r="C26" i="7"/>
  <c r="B26" i="7" s="1"/>
  <c r="C27" i="7"/>
  <c r="B27" i="7" s="1"/>
  <c r="C28" i="7"/>
  <c r="D28" i="7" s="1"/>
  <c r="C29" i="7"/>
  <c r="B29" i="7" s="1"/>
  <c r="C30" i="7"/>
  <c r="D30" i="7" s="1"/>
  <c r="C31" i="7"/>
  <c r="D31" i="7" s="1"/>
  <c r="C32" i="7"/>
  <c r="B32" i="7" s="1"/>
  <c r="D23" i="7"/>
  <c r="C33" i="7"/>
  <c r="B33" i="7" s="1"/>
  <c r="C34" i="7"/>
  <c r="B34" i="7" s="1"/>
  <c r="C35" i="7"/>
  <c r="B35" i="7" s="1"/>
  <c r="C36" i="7"/>
  <c r="D36" i="7" s="1"/>
  <c r="C37" i="7"/>
  <c r="D37" i="7" s="1"/>
  <c r="C38" i="7"/>
  <c r="B38" i="7" s="1"/>
  <c r="C39" i="7"/>
  <c r="B39" i="7" s="1"/>
  <c r="C40" i="7"/>
  <c r="D40" i="7" s="1"/>
  <c r="C15" i="7"/>
  <c r="B15" i="7" s="1"/>
  <c r="C16" i="7"/>
  <c r="B16" i="7" s="1"/>
  <c r="C17" i="7"/>
  <c r="B17" i="7" s="1"/>
  <c r="D26" i="7" l="1"/>
  <c r="D52" i="7"/>
  <c r="D51" i="7"/>
  <c r="D25" i="7"/>
  <c r="D29" i="7"/>
  <c r="D50" i="7"/>
  <c r="D56" i="7"/>
  <c r="D49" i="7"/>
  <c r="B37" i="7"/>
  <c r="D53" i="7"/>
  <c r="D48" i="7"/>
  <c r="D27" i="7"/>
  <c r="B57" i="7"/>
  <c r="D32" i="7"/>
  <c r="B31" i="7"/>
  <c r="B30" i="7"/>
  <c r="B28" i="7"/>
  <c r="D35" i="7"/>
  <c r="B36" i="7"/>
  <c r="D39" i="7"/>
  <c r="D34" i="7"/>
  <c r="D38" i="7"/>
  <c r="D33" i="7"/>
  <c r="B40" i="7"/>
  <c r="D15" i="7"/>
  <c r="D16" i="7"/>
  <c r="D17" i="7"/>
  <c r="C218" i="9" l="1"/>
  <c r="D218" i="9" s="1"/>
  <c r="C217" i="9"/>
  <c r="D217" i="9" s="1"/>
  <c r="C216" i="9"/>
  <c r="B216" i="9" s="1"/>
  <c r="C215" i="9"/>
  <c r="D215" i="9" s="1"/>
  <c r="C214" i="9"/>
  <c r="D214" i="9" s="1"/>
  <c r="C211" i="9"/>
  <c r="B211" i="9" s="1"/>
  <c r="C210" i="9"/>
  <c r="D210" i="9" s="1"/>
  <c r="C209" i="9"/>
  <c r="D209" i="9" s="1"/>
  <c r="C208" i="9"/>
  <c r="B208" i="9" s="1"/>
  <c r="C207" i="9"/>
  <c r="D207" i="9" s="1"/>
  <c r="C204" i="9"/>
  <c r="B204" i="9" s="1"/>
  <c r="C203" i="9"/>
  <c r="D203" i="9" s="1"/>
  <c r="C202" i="9"/>
  <c r="D202" i="9" s="1"/>
  <c r="C201" i="9"/>
  <c r="B201" i="9" s="1"/>
  <c r="C200" i="9"/>
  <c r="D200" i="9" s="1"/>
  <c r="C197" i="9"/>
  <c r="D197" i="9" s="1"/>
  <c r="C196" i="9"/>
  <c r="D196" i="9" s="1"/>
  <c r="C195" i="9"/>
  <c r="D195" i="9" s="1"/>
  <c r="C194" i="9"/>
  <c r="B194" i="9" s="1"/>
  <c r="C193" i="9"/>
  <c r="D193" i="9" s="1"/>
  <c r="C190" i="9"/>
  <c r="D190" i="9" s="1"/>
  <c r="C189" i="9"/>
  <c r="B189" i="9" s="1"/>
  <c r="C188" i="9"/>
  <c r="B188" i="9" s="1"/>
  <c r="C187" i="9"/>
  <c r="D187" i="9" s="1"/>
  <c r="C186" i="9"/>
  <c r="B186" i="9" s="1"/>
  <c r="C183" i="9"/>
  <c r="D183" i="9" s="1"/>
  <c r="C182" i="9"/>
  <c r="B182" i="9" s="1"/>
  <c r="C181" i="9"/>
  <c r="D181" i="9" s="1"/>
  <c r="C180" i="9"/>
  <c r="D180" i="9" s="1"/>
  <c r="C179" i="9"/>
  <c r="B179" i="9" s="1"/>
  <c r="C176" i="9"/>
  <c r="B176" i="9" s="1"/>
  <c r="C175" i="9"/>
  <c r="D175" i="9" s="1"/>
  <c r="C174" i="9"/>
  <c r="D174" i="9" s="1"/>
  <c r="C173" i="9"/>
  <c r="D173" i="9" s="1"/>
  <c r="C172" i="9"/>
  <c r="B172" i="9" s="1"/>
  <c r="C169" i="9"/>
  <c r="D169" i="9" s="1"/>
  <c r="C168" i="9"/>
  <c r="D168" i="9" s="1"/>
  <c r="C167" i="9"/>
  <c r="B167" i="9" s="1"/>
  <c r="C166" i="9"/>
  <c r="D166" i="9" s="1"/>
  <c r="C165" i="9"/>
  <c r="D165" i="9" s="1"/>
  <c r="C162" i="9"/>
  <c r="D162" i="9" s="1"/>
  <c r="C161" i="9"/>
  <c r="D161" i="9" s="1"/>
  <c r="C160" i="9"/>
  <c r="B160" i="9" s="1"/>
  <c r="C159" i="9"/>
  <c r="D159" i="9" s="1"/>
  <c r="C158" i="9"/>
  <c r="D158" i="9" s="1"/>
  <c r="C155" i="9"/>
  <c r="B155" i="9" s="1"/>
  <c r="C154" i="9"/>
  <c r="D154" i="9" s="1"/>
  <c r="C153" i="9"/>
  <c r="D153" i="9" s="1"/>
  <c r="C152" i="9"/>
  <c r="D152" i="9" s="1"/>
  <c r="C151" i="9"/>
  <c r="D151" i="9" s="1"/>
  <c r="C148" i="9"/>
  <c r="B148" i="9" s="1"/>
  <c r="C147" i="9"/>
  <c r="D147" i="9" s="1"/>
  <c r="C146" i="9"/>
  <c r="D146" i="9" s="1"/>
  <c r="C145" i="9"/>
  <c r="B145" i="9" s="1"/>
  <c r="C144" i="9"/>
  <c r="D144" i="9" s="1"/>
  <c r="C141" i="9"/>
  <c r="D141" i="9" s="1"/>
  <c r="C140" i="9"/>
  <c r="D140" i="9" s="1"/>
  <c r="C139" i="9"/>
  <c r="D139" i="9" s="1"/>
  <c r="C138" i="9"/>
  <c r="B138" i="9" s="1"/>
  <c r="C137" i="9"/>
  <c r="D137" i="9" s="1"/>
  <c r="C134" i="9"/>
  <c r="D134" i="9" s="1"/>
  <c r="C133" i="9"/>
  <c r="B133" i="9" s="1"/>
  <c r="C132" i="9"/>
  <c r="D132" i="9" s="1"/>
  <c r="C131" i="9"/>
  <c r="D131" i="9" s="1"/>
  <c r="C130" i="9"/>
  <c r="B130" i="9" s="1"/>
  <c r="C127" i="9"/>
  <c r="D127" i="9" s="1"/>
  <c r="C126" i="9"/>
  <c r="B126" i="9" s="1"/>
  <c r="C125" i="9"/>
  <c r="D125" i="9" s="1"/>
  <c r="C124" i="9"/>
  <c r="D124" i="9" s="1"/>
  <c r="C123" i="9"/>
  <c r="B123" i="9" s="1"/>
  <c r="C120" i="9"/>
  <c r="D120" i="9" s="1"/>
  <c r="C119" i="9"/>
  <c r="D119" i="9" s="1"/>
  <c r="C118" i="9"/>
  <c r="D118" i="9" s="1"/>
  <c r="C117" i="9"/>
  <c r="D117" i="9" s="1"/>
  <c r="C116" i="9"/>
  <c r="C113" i="9"/>
  <c r="D113" i="9" s="1"/>
  <c r="C112" i="9"/>
  <c r="D112" i="9" s="1"/>
  <c r="C111" i="9"/>
  <c r="C110" i="9"/>
  <c r="D110" i="9" s="1"/>
  <c r="C109" i="9"/>
  <c r="D109" i="9" s="1"/>
  <c r="C78" i="9"/>
  <c r="D78" i="9" s="1"/>
  <c r="C77" i="9"/>
  <c r="D77" i="9" s="1"/>
  <c r="C75" i="9"/>
  <c r="C74" i="9"/>
  <c r="D74" i="9" s="1"/>
  <c r="C73" i="9"/>
  <c r="D73" i="9" s="1"/>
  <c r="C43" i="9"/>
  <c r="C42" i="9"/>
  <c r="D42" i="9" s="1"/>
  <c r="C41" i="9"/>
  <c r="D41" i="9" s="1"/>
  <c r="C40" i="9"/>
  <c r="D40" i="9" s="1"/>
  <c r="C39" i="9"/>
  <c r="D39" i="9" s="1"/>
  <c r="C30" i="9"/>
  <c r="C29" i="9"/>
  <c r="D29" i="9" s="1"/>
  <c r="C28" i="9"/>
  <c r="D28" i="9" s="1"/>
  <c r="C27" i="9"/>
  <c r="C20" i="9"/>
  <c r="D20" i="9" s="1"/>
  <c r="C17" i="9"/>
  <c r="D17" i="9" s="1"/>
  <c r="C16" i="9"/>
  <c r="D16" i="9" s="1"/>
  <c r="C14" i="9"/>
  <c r="C11" i="9"/>
  <c r="D11" i="9" s="1"/>
  <c r="C10" i="9"/>
  <c r="D10" i="9" s="1"/>
  <c r="B2" i="9"/>
  <c r="B144" i="9" l="1"/>
  <c r="B165" i="9"/>
  <c r="B173" i="9"/>
  <c r="D186" i="9"/>
  <c r="B196" i="9"/>
  <c r="D211" i="9"/>
  <c r="B217" i="9"/>
  <c r="B140" i="9"/>
  <c r="B166" i="9"/>
  <c r="B162" i="9"/>
  <c r="B197" i="9"/>
  <c r="B210" i="9"/>
  <c r="B187" i="9"/>
  <c r="B141" i="9"/>
  <c r="B151" i="9"/>
  <c r="B218" i="9"/>
  <c r="B161" i="9"/>
  <c r="B195" i="9"/>
  <c r="B175" i="9"/>
  <c r="D188" i="9"/>
  <c r="B132" i="9"/>
  <c r="B139" i="9"/>
  <c r="B153" i="9"/>
  <c r="D179" i="9"/>
  <c r="D133" i="9"/>
  <c r="D123" i="9"/>
  <c r="D130" i="9"/>
  <c r="D176" i="9"/>
  <c r="D201" i="9"/>
  <c r="D208" i="9"/>
  <c r="D111" i="9"/>
  <c r="B131" i="9"/>
  <c r="B154" i="9"/>
  <c r="B174" i="9"/>
  <c r="D189" i="9"/>
  <c r="B209" i="9"/>
  <c r="D167" i="9"/>
  <c r="B120" i="9"/>
  <c r="B127" i="9"/>
  <c r="B152" i="9"/>
  <c r="D155" i="9"/>
  <c r="B200" i="9"/>
  <c r="B207" i="9"/>
  <c r="D43" i="9"/>
  <c r="D27" i="9"/>
  <c r="D145" i="9"/>
  <c r="B183" i="9"/>
  <c r="D14" i="9"/>
  <c r="D30" i="9"/>
  <c r="D75" i="9"/>
  <c r="D116" i="9"/>
  <c r="B124" i="9"/>
  <c r="D126" i="9"/>
  <c r="B134" i="9"/>
  <c r="D138" i="9"/>
  <c r="B146" i="9"/>
  <c r="D148" i="9"/>
  <c r="B158" i="9"/>
  <c r="D160" i="9"/>
  <c r="B168" i="9"/>
  <c r="D172" i="9"/>
  <c r="B180" i="9"/>
  <c r="D182" i="9"/>
  <c r="B190" i="9"/>
  <c r="D194" i="9"/>
  <c r="B202" i="9"/>
  <c r="D204" i="9"/>
  <c r="B214" i="9"/>
  <c r="D216" i="9"/>
  <c r="B125" i="9"/>
  <c r="B137" i="9"/>
  <c r="B147" i="9"/>
  <c r="B159" i="9"/>
  <c r="B169" i="9"/>
  <c r="B181" i="9"/>
  <c r="B193" i="9"/>
  <c r="B203" i="9"/>
  <c r="B215" i="9"/>
  <c r="C180" i="7" l="1"/>
  <c r="B180" i="7" s="1"/>
  <c r="C179" i="7"/>
  <c r="D179" i="7" s="1"/>
  <c r="C178" i="7"/>
  <c r="B178" i="7" s="1"/>
  <c r="C177" i="7"/>
  <c r="B177" i="7" s="1"/>
  <c r="C176" i="7"/>
  <c r="D176" i="7" s="1"/>
  <c r="C173" i="7"/>
  <c r="D173" i="7" s="1"/>
  <c r="C172" i="7"/>
  <c r="D172" i="7" s="1"/>
  <c r="C171" i="7"/>
  <c r="D171" i="7" s="1"/>
  <c r="C170" i="7"/>
  <c r="D170" i="7" s="1"/>
  <c r="C169" i="7"/>
  <c r="D169" i="7" s="1"/>
  <c r="C166" i="7"/>
  <c r="B166" i="7" s="1"/>
  <c r="C165" i="7"/>
  <c r="B165" i="7" s="1"/>
  <c r="C164" i="7"/>
  <c r="D164" i="7" s="1"/>
  <c r="C163" i="7"/>
  <c r="D163" i="7" s="1"/>
  <c r="C162" i="7"/>
  <c r="D162" i="7" s="1"/>
  <c r="C159" i="7"/>
  <c r="D159" i="7" s="1"/>
  <c r="C158" i="7"/>
  <c r="D158" i="7" s="1"/>
  <c r="C157" i="7"/>
  <c r="B157" i="7" s="1"/>
  <c r="C156" i="7"/>
  <c r="D156" i="7" s="1"/>
  <c r="C155" i="7"/>
  <c r="D155" i="7" s="1"/>
  <c r="C152" i="7"/>
  <c r="D152" i="7" s="1"/>
  <c r="C151" i="7"/>
  <c r="B151" i="7" s="1"/>
  <c r="C150" i="7"/>
  <c r="D150" i="7" s="1"/>
  <c r="C149" i="7"/>
  <c r="B149" i="7" s="1"/>
  <c r="C148" i="7"/>
  <c r="B148" i="7" s="1"/>
  <c r="C145" i="7"/>
  <c r="D145" i="7" s="1"/>
  <c r="C144" i="7"/>
  <c r="D144" i="7" s="1"/>
  <c r="C143" i="7"/>
  <c r="D143" i="7" s="1"/>
  <c r="C142" i="7"/>
  <c r="B142" i="7" s="1"/>
  <c r="C141" i="7"/>
  <c r="B141" i="7" s="1"/>
  <c r="C138" i="7"/>
  <c r="D138" i="7" s="1"/>
  <c r="C137" i="7"/>
  <c r="B137" i="7" s="1"/>
  <c r="C136" i="7"/>
  <c r="B136" i="7" s="1"/>
  <c r="C135" i="7"/>
  <c r="B135" i="7" s="1"/>
  <c r="C134" i="7"/>
  <c r="B134" i="7" s="1"/>
  <c r="C131" i="7"/>
  <c r="D131" i="7" s="1"/>
  <c r="C130" i="7"/>
  <c r="D130" i="7" s="1"/>
  <c r="C129" i="7"/>
  <c r="B129" i="7" s="1"/>
  <c r="C128" i="7"/>
  <c r="D128" i="7" s="1"/>
  <c r="C127" i="7"/>
  <c r="D127" i="7" s="1"/>
  <c r="C124" i="7"/>
  <c r="B124" i="7" s="1"/>
  <c r="C123" i="7"/>
  <c r="D123" i="7" s="1"/>
  <c r="C122" i="7"/>
  <c r="D122" i="7" s="1"/>
  <c r="C121" i="7"/>
  <c r="D121" i="7" s="1"/>
  <c r="C120" i="7"/>
  <c r="B120" i="7" s="1"/>
  <c r="B127" i="7" l="1"/>
  <c r="D129" i="7"/>
  <c r="D142" i="7"/>
  <c r="D149" i="7"/>
  <c r="D148" i="7"/>
  <c r="D157" i="7"/>
  <c r="B164" i="7"/>
  <c r="D137" i="7"/>
  <c r="B123" i="7"/>
  <c r="D135" i="7"/>
  <c r="B156" i="7"/>
  <c r="B121" i="7"/>
  <c r="B145" i="7"/>
  <c r="D166" i="7"/>
  <c r="B122" i="7"/>
  <c r="D120" i="7"/>
  <c r="B152" i="7"/>
  <c r="D165" i="7"/>
  <c r="D124" i="7"/>
  <c r="B128" i="7"/>
  <c r="B131" i="7"/>
  <c r="B130" i="7"/>
  <c r="D136" i="7"/>
  <c r="B138" i="7"/>
  <c r="D134" i="7"/>
  <c r="D141" i="7"/>
  <c r="B144" i="7"/>
  <c r="B143" i="7"/>
  <c r="B150" i="7"/>
  <c r="D151" i="7"/>
  <c r="B159" i="7"/>
  <c r="B158" i="7"/>
  <c r="B155" i="7"/>
  <c r="B163" i="7"/>
  <c r="B162" i="7"/>
  <c r="B173" i="7"/>
  <c r="B172" i="7"/>
  <c r="B170" i="7"/>
  <c r="B171" i="7"/>
  <c r="B169" i="7"/>
  <c r="B176" i="7"/>
  <c r="D180" i="7"/>
  <c r="B179" i="7"/>
  <c r="D178" i="7"/>
  <c r="D177" i="7"/>
  <c r="C11" i="7" l="1"/>
  <c r="B11" i="7" s="1"/>
  <c r="D11" i="7" l="1"/>
  <c r="C13" i="7"/>
  <c r="D13" i="7" s="1"/>
  <c r="C14" i="7"/>
  <c r="D14" i="7" s="1"/>
  <c r="C117" i="7"/>
  <c r="B117" i="7" s="1"/>
  <c r="C116" i="7"/>
  <c r="B116" i="7" s="1"/>
  <c r="C115" i="7"/>
  <c r="D115" i="7" s="1"/>
  <c r="C114" i="7"/>
  <c r="D114" i="7" s="1"/>
  <c r="C113" i="7"/>
  <c r="B113" i="7" s="1"/>
  <c r="C110" i="7"/>
  <c r="D110" i="7" s="1"/>
  <c r="C109" i="7"/>
  <c r="B109" i="7" s="1"/>
  <c r="C108" i="7"/>
  <c r="D108" i="7" s="1"/>
  <c r="C107" i="7"/>
  <c r="D107" i="7" s="1"/>
  <c r="C106" i="7"/>
  <c r="D106" i="7" s="1"/>
  <c r="C103" i="7"/>
  <c r="D103" i="7" s="1"/>
  <c r="C102" i="7"/>
  <c r="B102" i="7" s="1"/>
  <c r="C101" i="7"/>
  <c r="D101" i="7" s="1"/>
  <c r="C100" i="7"/>
  <c r="D100" i="7" s="1"/>
  <c r="C99" i="7"/>
  <c r="B99" i="7" s="1"/>
  <c r="C96" i="7"/>
  <c r="D96" i="7" s="1"/>
  <c r="C95" i="7"/>
  <c r="B95" i="7" s="1"/>
  <c r="C94" i="7"/>
  <c r="D94" i="7" s="1"/>
  <c r="C93" i="7"/>
  <c r="D93" i="7" s="1"/>
  <c r="C92" i="7"/>
  <c r="B92" i="7" s="1"/>
  <c r="C89" i="7"/>
  <c r="B89" i="7" s="1"/>
  <c r="C88" i="7"/>
  <c r="B88" i="7" s="1"/>
  <c r="C87" i="7"/>
  <c r="D87" i="7" s="1"/>
  <c r="C86" i="7"/>
  <c r="D86" i="7" s="1"/>
  <c r="C85" i="7"/>
  <c r="B85" i="7" s="1"/>
  <c r="C82" i="7"/>
  <c r="D82" i="7" s="1"/>
  <c r="C81" i="7"/>
  <c r="B81" i="7" s="1"/>
  <c r="C80" i="7"/>
  <c r="D80" i="7" s="1"/>
  <c r="C79" i="7"/>
  <c r="D79" i="7" s="1"/>
  <c r="C78" i="7"/>
  <c r="B78" i="7" s="1"/>
  <c r="B80" i="7" l="1"/>
  <c r="B96" i="7"/>
  <c r="B100" i="7"/>
  <c r="B108" i="7"/>
  <c r="B13" i="7"/>
  <c r="B79" i="7"/>
  <c r="B87" i="7"/>
  <c r="B103" i="7"/>
  <c r="B107" i="7"/>
  <c r="B115" i="7"/>
  <c r="B82" i="7"/>
  <c r="B86" i="7"/>
  <c r="B94" i="7"/>
  <c r="B110" i="7"/>
  <c r="B106" i="7"/>
  <c r="B114" i="7"/>
  <c r="B93" i="7"/>
  <c r="B101" i="7"/>
  <c r="B14" i="7"/>
  <c r="D78" i="7"/>
  <c r="D81" i="7"/>
  <c r="D117" i="7"/>
  <c r="D113" i="7"/>
  <c r="D116" i="7"/>
  <c r="D109" i="7"/>
  <c r="D99" i="7"/>
  <c r="D102" i="7"/>
  <c r="D92" i="7"/>
  <c r="D95" i="7"/>
  <c r="D89" i="7"/>
  <c r="D85" i="7"/>
  <c r="D88" i="7"/>
  <c r="B2" i="7"/>
  <c r="B2" i="2"/>
  <c r="B2" i="1"/>
  <c r="C74" i="7" l="1"/>
  <c r="B74" i="7" s="1"/>
  <c r="C73" i="7"/>
  <c r="B73" i="7" s="1"/>
  <c r="D74" i="7" l="1"/>
  <c r="D73" i="7"/>
  <c r="C75" i="7"/>
  <c r="D75" i="7" s="1"/>
  <c r="C72" i="7"/>
  <c r="D72" i="7" s="1"/>
  <c r="C68" i="7"/>
  <c r="D68" i="7" s="1"/>
  <c r="C67" i="7"/>
  <c r="D67" i="7" s="1"/>
  <c r="C65" i="7"/>
  <c r="D65" i="7" s="1"/>
  <c r="C66" i="7"/>
  <c r="D66" i="7" s="1"/>
  <c r="C61" i="7"/>
  <c r="B61" i="7" s="1"/>
  <c r="C60" i="7"/>
  <c r="B60" i="7" s="1"/>
  <c r="C59" i="7"/>
  <c r="D59" i="7" s="1"/>
  <c r="C58" i="7"/>
  <c r="D58" i="7" s="1"/>
  <c r="C43" i="7"/>
  <c r="D43" i="7" s="1"/>
  <c r="C44" i="7"/>
  <c r="B44" i="7" s="1"/>
  <c r="C42" i="7"/>
  <c r="D42" i="7" s="1"/>
  <c r="C41" i="7"/>
  <c r="B41" i="7" s="1"/>
  <c r="B75" i="7" l="1"/>
  <c r="B72" i="7"/>
  <c r="B68" i="7"/>
  <c r="B67" i="7"/>
  <c r="B65" i="7"/>
  <c r="B66" i="7"/>
  <c r="D60" i="7"/>
  <c r="D61" i="7"/>
  <c r="B59" i="7"/>
  <c r="B58" i="7"/>
  <c r="B43" i="7"/>
  <c r="B42" i="7"/>
  <c r="D44" i="7"/>
  <c r="D41" i="7"/>
  <c r="C47" i="7" l="1"/>
  <c r="C22" i="7"/>
  <c r="C64" i="7"/>
  <c r="C71" i="7"/>
  <c r="C19" i="7"/>
  <c r="C10" i="7"/>
  <c r="C12" i="7"/>
  <c r="D47" i="7" l="1"/>
  <c r="B47" i="7"/>
  <c r="D64" i="7"/>
  <c r="B64" i="7"/>
  <c r="D10" i="7"/>
  <c r="B10" i="7"/>
  <c r="D71" i="7"/>
  <c r="B71" i="7"/>
  <c r="D22" i="7"/>
  <c r="B22" i="7"/>
  <c r="D19" i="7"/>
  <c r="B19" i="7"/>
  <c r="D12" i="7"/>
  <c r="B12" i="7"/>
</calcChain>
</file>

<file path=xl/sharedStrings.xml><?xml version="1.0" encoding="utf-8"?>
<sst xmlns="http://schemas.openxmlformats.org/spreadsheetml/2006/main" count="1011" uniqueCount="323">
  <si>
    <t>Angaben zum Audit</t>
  </si>
  <si>
    <t>Zertifizierungsstelle</t>
  </si>
  <si>
    <t>Name Auditor</t>
  </si>
  <si>
    <t>Name Auskunftsperson</t>
  </si>
  <si>
    <t>Markenlizenznehmer</t>
  </si>
  <si>
    <t>Auftraggeber des Audits</t>
  </si>
  <si>
    <t>Auditart</t>
  </si>
  <si>
    <t>Auditzeit</t>
  </si>
  <si>
    <t>Anzahl festgestellter Abweichungen</t>
  </si>
  <si>
    <t>Ende:</t>
  </si>
  <si>
    <t>Dauer:</t>
  </si>
  <si>
    <t>Das Audit konnte nicht durchgeführt werden</t>
  </si>
  <si>
    <t>Kein Ansprechpartner vor Ort</t>
  </si>
  <si>
    <t>Zugang wurde verweigert</t>
  </si>
  <si>
    <t>X</t>
  </si>
  <si>
    <t>Ort, Datum</t>
  </si>
  <si>
    <t>Unterschrift Betriebsverantwortlicher</t>
  </si>
  <si>
    <t>Unterschrift Auditor</t>
  </si>
  <si>
    <t xml:space="preserve">        Unterschrift Betriebsverantwortlicher</t>
  </si>
  <si>
    <t>Betrieb:</t>
  </si>
  <si>
    <t>Maßnahmenplan</t>
  </si>
  <si>
    <t>Lfd. Nr.</t>
  </si>
  <si>
    <t>Beschreibung der Abweichung</t>
  </si>
  <si>
    <t>Bewertung</t>
  </si>
  <si>
    <t>Vereinbarte Korrekturmaßnahme</t>
  </si>
  <si>
    <t>Behebungsfrist</t>
  </si>
  <si>
    <t>lAbw</t>
  </si>
  <si>
    <t>sAbw</t>
  </si>
  <si>
    <t>K.O.</t>
  </si>
  <si>
    <r>
      <t xml:space="preserve">Bewertung
</t>
    </r>
    <r>
      <rPr>
        <sz val="6"/>
        <color theme="1"/>
        <rFont val="Arial"/>
        <family val="2"/>
      </rPr>
      <t>(lAbw, sAbw, K.O.)</t>
    </r>
  </si>
  <si>
    <t>Prüfkriterien</t>
  </si>
  <si>
    <t>Lfd. Nr</t>
  </si>
  <si>
    <t>Kapitel
Richtlinie</t>
  </si>
  <si>
    <t>Kriterium</t>
  </si>
  <si>
    <t>Erläuterung / 
Durchführungshinweis</t>
  </si>
  <si>
    <t>Beschreibung</t>
  </si>
  <si>
    <t>grau</t>
  </si>
  <si>
    <t>erfüllt</t>
  </si>
  <si>
    <r>
      <t xml:space="preserve">Auf diesem Tabellenblatt werden dokumentübergreifende Variablen definiert.
Es kann nur der Text der gelben Felder angepasst werden.
</t>
    </r>
    <r>
      <rPr>
        <b/>
        <sz val="11"/>
        <color theme="1"/>
        <rFont val="Arial"/>
        <family val="2"/>
      </rPr>
      <t xml:space="preserve">
</t>
    </r>
    <r>
      <rPr>
        <b/>
        <sz val="11"/>
        <color rgb="FFFF0000"/>
        <rFont val="Arial"/>
        <family val="2"/>
      </rPr>
      <t>ACHTUNG: DIESE SEITE NICHT DRUCKEN!</t>
    </r>
  </si>
  <si>
    <t>Spalte1</t>
  </si>
  <si>
    <t>Spalte2</t>
  </si>
  <si>
    <t>Spalte3</t>
  </si>
  <si>
    <t>Spalte4</t>
  </si>
  <si>
    <t>Spalte5</t>
  </si>
  <si>
    <t>Hilfsspalte_Num</t>
  </si>
  <si>
    <t>Hilfsspalte_Kom</t>
  </si>
  <si>
    <t>Spalte6</t>
  </si>
  <si>
    <t>Spalte7</t>
  </si>
  <si>
    <t>Spalte8</t>
  </si>
  <si>
    <t>Spalte9</t>
  </si>
  <si>
    <t>Spalte10</t>
  </si>
  <si>
    <t>Spalte11</t>
  </si>
  <si>
    <t>Spalte12</t>
  </si>
  <si>
    <t>Auditdatum:</t>
  </si>
  <si>
    <t>Drop Down Menü:</t>
  </si>
  <si>
    <t>Bewertung:</t>
  </si>
  <si>
    <t>Beginn:</t>
  </si>
  <si>
    <t>Auditdatum (TT.MM.JJJJ)</t>
  </si>
  <si>
    <t>Erstaudit:</t>
  </si>
  <si>
    <t>Folgeaudit:</t>
  </si>
  <si>
    <t>Nachaudit:</t>
  </si>
  <si>
    <t>Hiermit bestätige ich, dass die oben aufgeführten Korrekturmaßnahmen zwischen mir und dem Auditor vereinbart wurden. Die Zertifizierungsstelle ist spätestens mit Ablauf der im Maßnahmenplan festgelegten Frist über die Umsetzung einer Korrekturmaßnahme zu informieren.</t>
  </si>
  <si>
    <t>Checklisten Punkt</t>
  </si>
  <si>
    <t xml:space="preserve"> </t>
  </si>
  <si>
    <t>1. Dokumentenüberprüfung</t>
  </si>
  <si>
    <t>4.</t>
  </si>
  <si>
    <t>5.</t>
  </si>
  <si>
    <t>6.</t>
  </si>
  <si>
    <t>7.</t>
  </si>
  <si>
    <t>8.</t>
  </si>
  <si>
    <t>9.</t>
  </si>
  <si>
    <t>10.</t>
  </si>
  <si>
    <t>11.</t>
  </si>
  <si>
    <t>Titel der Checkliste:</t>
  </si>
  <si>
    <t>Einstellungen</t>
  </si>
  <si>
    <t>Betriebsname:</t>
  </si>
  <si>
    <t>&lt;- Hier nichts eintragen</t>
  </si>
  <si>
    <t>dd.mm.yyyy</t>
  </si>
  <si>
    <t>zzzzzz</t>
  </si>
  <si>
    <t>Aktuelle Anzahl Sauenplätze</t>
  </si>
  <si>
    <t>Aktuelle Anzahl Ferkelaufzuchtplätze</t>
  </si>
  <si>
    <t>Betriebsregistriernummer</t>
  </si>
  <si>
    <t>Betrieb / auditierter Standort</t>
  </si>
  <si>
    <t>Beschreibung / Nachweise / Belege</t>
  </si>
  <si>
    <t xml:space="preserve">Hiermit bestätige ich die Angaben zum Betrieb und zu Durchführung des Audits. Eine Kopie des Auditberichtes (mindestens dieses Deckblattes) und des Maßnahmenplans habe ich erhalten. </t>
  </si>
  <si>
    <t>Bemerkung</t>
  </si>
  <si>
    <r>
      <t>OK?</t>
    </r>
    <r>
      <rPr>
        <vertAlign val="superscript"/>
        <sz val="10"/>
        <color theme="1"/>
        <rFont val="Arial"/>
        <family val="2"/>
      </rPr>
      <t>1</t>
    </r>
  </si>
  <si>
    <r>
      <rPr>
        <vertAlign val="superscript"/>
        <sz val="10"/>
        <color theme="1"/>
        <rFont val="Arial"/>
        <family val="2"/>
      </rPr>
      <t>1</t>
    </r>
    <r>
      <rPr>
        <sz val="10"/>
        <color theme="1"/>
        <rFont val="Arial"/>
        <family val="2"/>
      </rPr>
      <t>von der Zertifizierungsstelle auszufüllen</t>
    </r>
  </si>
  <si>
    <t>12.</t>
  </si>
  <si>
    <t>13.</t>
  </si>
  <si>
    <t>14.</t>
  </si>
  <si>
    <t>15.</t>
  </si>
  <si>
    <t>16.</t>
  </si>
  <si>
    <t>17.</t>
  </si>
  <si>
    <t>18.</t>
  </si>
  <si>
    <t>19.</t>
  </si>
  <si>
    <t>20.</t>
  </si>
  <si>
    <t>Dokumentenaudit:</t>
  </si>
  <si>
    <t>Der Systemteilnehmer erkennt die Nutzungsbedingungen und Vorgaben der Zertifizierungsstelle an.</t>
  </si>
  <si>
    <t xml:space="preserve">Der Betriebsbeschreibungsbogen ist vollständig und aktuell. </t>
  </si>
  <si>
    <t>Alle festgelegten Korrekturmaßnahmen wurden fristgerecht und wirksam umgesetzt.</t>
  </si>
  <si>
    <t xml:space="preserve">Die an eine ANG bzw. BiB geknüpften Auflagen werden eingehalten. </t>
  </si>
  <si>
    <t>Der Systemteilnehmer erkennt die Nutzungsbedingungen und Vorgaben des Labelgebers an.</t>
  </si>
  <si>
    <t>Abgleich des Betriebsbeschreibungsbogens, ggf. Korrektur bei betrieblichen Veränderungen.</t>
  </si>
  <si>
    <r>
      <t>Nachweis über einen gültigen Vertrag mit der Zertifizierungsgesellschaft wird im</t>
    </r>
    <r>
      <rPr>
        <b/>
        <sz val="10"/>
        <color theme="1"/>
        <rFont val="Arial"/>
        <family val="2"/>
      </rPr>
      <t xml:space="preserve"> → Betriebsbeschreibungbogen</t>
    </r>
    <r>
      <rPr>
        <sz val="10"/>
        <color theme="1"/>
        <rFont val="Arial"/>
        <family val="2"/>
      </rPr>
      <t xml:space="preserve"> bestätigt.</t>
    </r>
  </si>
  <si>
    <t>2</t>
  </si>
  <si>
    <t>Eine Parallelhaltung findet nicht statt bzw. es liegt eine Ausnahmegenehmigung für "ausnahmsweise gestattete Parallelhaltung" vor.</t>
  </si>
  <si>
    <r>
      <t xml:space="preserve">Kombinationen verschiedener Produktionsstandards einer Nutzungsart innerhalb eines teilnehmenden Betriebes ohne Vorliegen einer Ausnahmegenehmigung durch den DTSchB = </t>
    </r>
    <r>
      <rPr>
        <b/>
        <sz val="10"/>
        <color theme="1"/>
        <rFont val="Arial"/>
        <family val="2"/>
      </rPr>
      <t>K.O.</t>
    </r>
  </si>
  <si>
    <t>3.1</t>
  </si>
  <si>
    <t>Die Kontrollgänge und die festgestellten Auffälligkeiten sind zu protokollieren, wobei inbesondere auf Anzeichen für Schwanzbeißen, Schwanznekrosen und andere tiergesundheitliche Auffälligkeiten zu achten ist.</t>
  </si>
  <si>
    <t>3.2</t>
  </si>
  <si>
    <t>4.1</t>
  </si>
  <si>
    <t>Nur relevant für Betriebe, die in die Premiumkette liefern: Mit der Beratung des DTSchB wurde ein individueller Umstellungszeitraum inkl. Entwicklungsplan für die Ferkelerzeugung vereinbart.</t>
  </si>
  <si>
    <t>Nur relevant für Betriebe, die in die Premiumkette liefern: Die im Entwicklungsplan festgelegten Maßnahmen sind entsprechend der festgelegten Fristen umgesetzt.</t>
  </si>
  <si>
    <t>4.2</t>
  </si>
  <si>
    <r>
      <t xml:space="preserve">Einsatz von PMSG = </t>
    </r>
    <r>
      <rPr>
        <b/>
        <sz val="10"/>
        <color theme="1"/>
        <rFont val="Arial"/>
        <family val="2"/>
      </rPr>
      <t>K.O.</t>
    </r>
  </si>
  <si>
    <t>4.3.1</t>
  </si>
  <si>
    <t>Sauen in Gruppenhaltung: Langfaseriges organisches Material (z. B. Stroh oder Heu) wird zur freien Verfügung angeboten.</t>
  </si>
  <si>
    <t>Falls dieses nicht als Einstreu angeboten wird, muss es in Raufen, Automaten oder Ähnlichem und im Falle einer Abruffütterung räumlich getrennt von dieser angeboten werden. Durch darunter befindliche geschlossene Flächen, Spaltenverschlüsse, Trogschalen oder ähnliche Einrichtungen muss das Auffangen und Ansammeln des Materials und damit das Wühlverhalten der Tiere ermöglicht werden.</t>
  </si>
  <si>
    <t>4.3.2</t>
  </si>
  <si>
    <t>Sauen in Gruppenhaltung: Das Tier-Fressplatz-Verhältnis 1:1 wird eingehalten.</t>
  </si>
  <si>
    <t>Sowohl Abruffütterung als auch eine Fütterung zur freien (ad lib.) Aufnahme (z. B. durch einen Automaten oder Fütterung auf dem Boden) werden ebenfalls geduldet.</t>
  </si>
  <si>
    <t>Sauen in Gruppenhaltung: Das Tier-Fressplatz-Verhältnis bei Abruffütterung ist so gewählt, dass alle Tiere während der Aktivitäts- bzw. Lichtphase des Tages ausreichend fressen können.</t>
  </si>
  <si>
    <t>4.3.3</t>
  </si>
  <si>
    <t>Sauen in Gruppenhaltung: Krankenbuchten sind eindeutig als solche gekennzeichnet.</t>
  </si>
  <si>
    <t>4.4.1</t>
  </si>
  <si>
    <t xml:space="preserve">Sauen im Abferkelbereich: Jeder Sau wird ständig zugängliches organisches Beschäftigungsmaterial angeboten. </t>
  </si>
  <si>
    <t xml:space="preserve">Mind. ein Jutesack oder ähnliches Material
Empfehlung: Stroh oder vergleichbares langfaseriges organisches Material 
(Angebot z. B. in Raufen, so dass ständig verfügbar). </t>
  </si>
  <si>
    <t>4.4.2</t>
  </si>
  <si>
    <t>Saugferkel: Nach Anästhesie der Ferkel bis zur Wiedererlangung der vollständigen motorischen Fähigkeiten werden Schutzmaßnahmen (Wärme, Separation von der Muttersau) umgesetzt.</t>
  </si>
  <si>
    <t>Saugferkel: Tierverluste, die im direkten oder vermuteten Zusammenhang mit der Narkose auftreten, werden mit dem Hinweis, welche Methode angewandt wurde, dokumentiert.</t>
  </si>
  <si>
    <t>Saugferkel: Die Anforderungen für die Anwendung der Isofluran-Narkose durch den Tierhalter, die zusätzlich zu den gesetzlich bindenen Vorgaben der FerkBetSachV gelten, werden eingehalten.</t>
  </si>
  <si>
    <t>Saugferkel: Auf das Kupieren der Schwänze wird verzichtet.</t>
  </si>
  <si>
    <t>4.4.3</t>
  </si>
  <si>
    <t>Saugferkel: Spätestens ab dem 10. Lebenstag bis zum Ende der Säugezeit wird kau- und abschluckbares organisches Material zur freien Verfügung in einer Schale bodennah angeboten.</t>
  </si>
  <si>
    <t xml:space="preserve">z. B. Ferkelwühlerde, Luzernepellets, Strohpellets. Im Falle einer Stroheinstreu ist dies nicht erforderlich.
Ein Stück Holz ist nicht ausreichend. </t>
  </si>
  <si>
    <t>4.4.4</t>
  </si>
  <si>
    <t>Saugferkel: Spätestens ab dem 7. Lebenstag steht zur Wasseraufnahme mind. eine Tränkemöglichkeit zum Saufen aus offener Fläche zur Verfügung.</t>
  </si>
  <si>
    <t>Saugferkel: Bei Freilandhaltung in Hütten ist ab dem Zeitpunkt der Zufütterung oder spätestens ab dem 7. Lebenstag mind. eine Tränkemöglichkeit zum Saufen aus offener Fläche vorhanden.</t>
  </si>
  <si>
    <t>2. Ferkelerzeugung</t>
  </si>
  <si>
    <t>3. Ferkelaufzucht</t>
  </si>
  <si>
    <t>5.1</t>
  </si>
  <si>
    <r>
      <t xml:space="preserve">Zusätzlich zu diesen Mindestanforderungen müssen die Inhalte der → </t>
    </r>
    <r>
      <rPr>
        <b/>
        <sz val="10"/>
        <color theme="1"/>
        <rFont val="Arial"/>
        <family val="2"/>
      </rPr>
      <t>Richtlinie Ferkelaufzucht Premium</t>
    </r>
    <r>
      <rPr>
        <sz val="10"/>
        <color theme="1"/>
        <rFont val="Arial"/>
        <family val="2"/>
      </rPr>
      <t xml:space="preserve"> eingehalten werden. Für die Umstellung hinsichtlich dieser zusätzlichen Anforderungen werden entsprechend der betrieblichen Voraussetzungen zusammen mit der Beratung des DTSchB individuelle Umstellungszeiträume vereinbart. Der Umstellungszeitraum darf max. 2 Jahre ab Erstzertifizierung als Zukaufbetrieb betragen. </t>
    </r>
  </si>
  <si>
    <t>5.2</t>
  </si>
  <si>
    <t xml:space="preserve">Langfaseriges organisches Material (z. B. Stroh oder Heu) wird zur freien Verfügung angeboten. </t>
  </si>
  <si>
    <t>Falls dieses nicht als Einstreu angeboten wird, muss es in Raufen, Automaten oder ähnlichen Einrichtungen  angeboten werden. Durch darunter befindliche geschlossene Flächen, Spaltenverschlüsse, Trogschalen pder ähnliche Einrichtungen muss das Auffangen und Ansammeln des Materials und damit das Wühlverhalten sichergestellt werden.</t>
  </si>
  <si>
    <t>Weiteres geeignetes organisches Material wird angeboten.</t>
  </si>
  <si>
    <t>z. B. aufgehängte Hanfseile, aufgehängte Weichholzbalken, Hebelbalken aus Weichholz
Wenn im Liegebereich flächendeckend  Langstroh eingestreut ist, muss kein weiteres geeignetes organisches Material zur Beschäftigung angeboten werden.</t>
  </si>
  <si>
    <t>Es sind immer mind. 3 verschiedene organische kau- und abschluckbare Materialien auf dem Betrieb vorrätig, die nicht dem üblicherweise zur Verfügung stehenden langfaserigen Beschäftigungsmaterial entsprechen.</t>
  </si>
  <si>
    <t>z. B. Wühlerde, Strohpellets, Miscanthus, Heu, Äste, Maispflanzen, Maiskörner, Luzernepellets</t>
  </si>
  <si>
    <t xml:space="preserve">Im Notfall wird weiteres kau- und abschluckbares organische Material angeboten. </t>
  </si>
  <si>
    <t>Notfall bedeutet, wenn Schwanz-, Ohren- oder Flankenbeißen auftreten bzw. schon erste Anzeichen beobachtet wurden.</t>
  </si>
  <si>
    <t>5.3</t>
  </si>
  <si>
    <t>Das Tier-Fressplatz-Verhältnis entspricht den Anforderungen.</t>
  </si>
  <si>
    <t>5.4</t>
  </si>
  <si>
    <t>Im Fall von Schwanzbeißgeschehen bzw. bei ersten Anzeichen dafür werden umgehend Sofortmaßnahmen ergriffen.</t>
  </si>
  <si>
    <t xml:space="preserve">z. B. zusätzliches organisches Beschäftigungsmaterial, Separierung, Überprüfung der Funktionsfähigkeit von Einrichtungsgegenständen; Maßnahmen sind zu dokumentieren. </t>
  </si>
  <si>
    <t>Bei kurzen Schwänzen oder Schwanzverletzungen bei &gt; 20 % aller Aufzuchtferkel des Betriebes wird umgehend eine Beratung vom DTSchB in Anspruch genommen.</t>
  </si>
  <si>
    <t>5.5</t>
  </si>
  <si>
    <t>Es sind Krankenbuchten vorhanden.</t>
  </si>
  <si>
    <t>Krankenbuchten sind eindeutig als solche gekennzeichnet.</t>
  </si>
  <si>
    <t>Krankenbuchten sind mind. in Teilflächen eingestreut.</t>
  </si>
  <si>
    <t>RL Zert 2024
3.3</t>
  </si>
  <si>
    <t>RL Zert 2024
3.2</t>
  </si>
  <si>
    <t>RL Zert 2024
6.4.2</t>
  </si>
  <si>
    <t>RL Zert 2024
6</t>
  </si>
  <si>
    <t>Das heißt Buchten, in denen sich die Sauen jederzeit frei bewegen können. Eine Fixierung der Sauen darf bei Behandlungen und anderen Eingriffen an Ferkeln und Sauen kurzzeitig, also max. für die Dauer der Behandlung oder des Eingriffes, erfolgen.</t>
  </si>
  <si>
    <t>Für die Sau: Liege-/Säugebereich, Fress- und Kotbereich
Für die Ferkel: Ferkelnest</t>
  </si>
  <si>
    <t>Eine Fixierung ist nur kurzzeitig zum Besamen der Sauen zulässig.</t>
  </si>
  <si>
    <r>
      <t xml:space="preserve">Außerdem zu beachten ist TierSchNutztV § 30 Absatz 2a: "Im Zeitraum ab dem Absetzen ihrer Ferkel bis zur Besamung muss Sauen und Jungsauen eine uneingeschränkt nutzbare Bodenfläche von mindestens </t>
    </r>
    <r>
      <rPr>
        <b/>
        <i/>
        <sz val="10"/>
        <color theme="1"/>
        <rFont val="Arial"/>
        <family val="2"/>
      </rPr>
      <t>5 m² je Sau</t>
    </r>
    <r>
      <rPr>
        <i/>
        <sz val="10"/>
        <color theme="1"/>
        <rFont val="Arial"/>
        <family val="2"/>
      </rPr>
      <t xml:space="preserve"> zur Verfügung stehen." Übergangsfrist bis zum 09.02.2029 für Haltungseinrichtungen, die vor dem 09.02.2021 genehmigt oder in Benutzung genommen worden sind.</t>
    </r>
  </si>
  <si>
    <t>Die Fütterung mit bestehenden Abrufstationen wird bei Betrieben, die bereits vor dem 01.01.2023 als TSL-Zukaufbetrieb erstzertifiziert waren, geduldet.</t>
  </si>
  <si>
    <t>Dem Tier muss es möglich sein eine physiologische Körperhaltung einzunehmen.</t>
  </si>
  <si>
    <t>Sensorische Schätzung. Falls die sensorische Bewertung des Stallklimas während des Audits auffällig ist, muss eine technische Messung erfolgen.</t>
  </si>
  <si>
    <t xml:space="preserve">In Ställen mit Auslauf muss eine aktive Kühlmöglichkeit durch Sprüheinrichtung/Duschen, Suhlen oder Ähnliches im Auslauf vorhanden sein. Eine automatische Regelung muss vorhanden sein, z. B. durch einen Temperatursensor. Im Stall müssen in diesem Fall keine zusätzlichen Einrichtungen zur Luftkühlung festinstalliert sein. </t>
  </si>
  <si>
    <t xml:space="preserve">Die Menge an Stroh muss ausreichend sein, um einen direkten Kontakt zwischen dem Tier und dem Boden zu verhindern. </t>
  </si>
  <si>
    <t>Sollte es erforderlich sein, aus Tierschutzgründen eine Behandlung im Sinne einer Notfalltherapie einzuleiten, bevor das Ergebnis des Resistenztestes vorliegt, so muss dennoch im Nachgang ein Resistenztest durchgeführt werden. 
Die Notwendigkeit einer solchen Notfallbehandlung ist explizit und nachvollziehbar zu dokumentieren.</t>
  </si>
  <si>
    <t>Notfall bedeutet, wenn Schwanz-, Ohren- oder Flankenbeißen auftreten oder schon erste Anzeichen davon beobachtet werden.</t>
  </si>
  <si>
    <t xml:space="preserve">Der Sau und ihrem Wurf stehen Buchten zur freien Abferkelung zur Verfügung. </t>
  </si>
  <si>
    <t>Die Mindestflächen der Abferkelbuchten werden eingehalten.</t>
  </si>
  <si>
    <t>Die Abferkelbuchten sind so ausgestaltet, dass sie eine Trennung in Funktionsbereiche ermöglichen.</t>
  </si>
  <si>
    <t>Der Liegebereich der Sau ist planbefestigt und mit geeignetem organischen Material eingestreut.</t>
  </si>
  <si>
    <t>Der Boden des Ferkelnestes ist planbefestigt und mit geeignetem Material eingestreut.</t>
  </si>
  <si>
    <t>Die Säugezeit ist mind. für die Dauer von 28 Tagen geplant.</t>
  </si>
  <si>
    <t>Die Ferkel werden nur abgesetzt, wenn das mittlere Gewicht der Ferkel eines Wurfes mind. 8 kg beträgt.</t>
  </si>
  <si>
    <t xml:space="preserve">Eine künstliche Amme zur mutterlosen Ferkelaufzucht wird nur im Einzelfall eingesetzt. </t>
  </si>
  <si>
    <t>Die Sauen werden in Gruppen gehalten.</t>
  </si>
  <si>
    <r>
      <t>Jeder Sau steht eine Gesamtfläche von 
mind. 4 m</t>
    </r>
    <r>
      <rPr>
        <vertAlign val="superscript"/>
        <sz val="10"/>
        <color theme="1"/>
        <rFont val="Arial"/>
        <family val="2"/>
      </rPr>
      <t>2</t>
    </r>
    <r>
      <rPr>
        <sz val="10"/>
        <color theme="1"/>
        <rFont val="Arial"/>
        <family val="2"/>
      </rPr>
      <t xml:space="preserve"> zur Verfügung.</t>
    </r>
  </si>
  <si>
    <t>Die Buchten sind so ausgestaltet, dass sie den Sauen eine Trennung von Liege- und Kotbereich ermöglichen.</t>
  </si>
  <si>
    <t>Der Liegebereich ist planbefestigt, flächendeckend mit geeignetem organischen Material eingestreut und trocken.</t>
  </si>
  <si>
    <t>Ein Tier-Fressplatz-Verhältnis von 1:1 wird eingehalten.</t>
  </si>
  <si>
    <t>Die Sauen werden vor gegenseitigem Verdrängen geschützt.</t>
  </si>
  <si>
    <t>Auf die Fütterung mit Abrufstationen wird verzichtet.</t>
  </si>
  <si>
    <t>Den Sauen steht ein ständig zugänglicher Auslauf zur Verfügung.</t>
  </si>
  <si>
    <t>Bei Fütterung mit Abrufstationen: Zusätzliches langfaseriges organisches Material in Raufen oder vergleichbaren Behältnissen zur ad lib. Aufnahme angeboten.</t>
  </si>
  <si>
    <t>Die Auslaufläche beträgt mind. 1,5 m² pro Sau.</t>
  </si>
  <si>
    <t>Bei Fütterung mit Abrufstationen: Zusätzliches langfaseriges organisches Material wird in Raufen oder vergleichbaren Behältnissen zur ad lib. Aufnahme angeboten.</t>
  </si>
  <si>
    <t>Die Tiere weisen keine erkennbaren Zeichen auf, die auf eine Störung des Allgemeinbefindens des Gesamtbestandes hinweisen.</t>
  </si>
  <si>
    <t>Die Buchten sind so ausgestaltet, dass sie den Schweinen eine Trennung von Liege- und Kotbereich ermöglichen.</t>
  </si>
  <si>
    <t>Im Falle einer Strukturierung der Bucht durch eine erhöhte Ebene: Die Fläche der erhöhten Ebene wird max. zu 50 % an das vorgeschriebene Platzangebot angerechnet und diese macht nicht mehr als 40 % der gesamten nutzbaren Fläche aus.</t>
  </si>
  <si>
    <t>Jeder Fressplatz ist frei zugänglich und breit genug.</t>
  </si>
  <si>
    <t>Die Schadgaskonzentrationen sind in Bereichen, die die Gesundheit der Tiere nicht beeinträchtigen.</t>
  </si>
  <si>
    <t>Falls eine technische Messung durchgeführt wird: Bei Ammoniak-Werten &gt; 10 ppm werden mit dem DTSchB Maßnahmen besprochen.</t>
  </si>
  <si>
    <t>z. B. Überprüfung durch Stallklimaexperten</t>
  </si>
  <si>
    <t>Funktionsfähige Einrichtungen zur Luftkühlung oder andere Kühlungsmöglichkeiten sind vorhanden.</t>
  </si>
  <si>
    <t>Diese Kühlungsmöglichkeiten werden bei Bedarf eingesetzt.</t>
  </si>
  <si>
    <t>Die Krankenbuchten sind als solche gekennzeichnet.</t>
  </si>
  <si>
    <t>Die Tränken und das Futter in den Krankenbuchten sind jederzeit für alle Tiere erreichbar.</t>
  </si>
  <si>
    <t xml:space="preserve">Antibiotika werden nur nach tierärztlicher Indikation und nicht zur Prophylaxe eingesetzt. </t>
  </si>
  <si>
    <t>Auf den Einsatz von Reserveantibiotika für die Humanmedizin wird verzichtet.</t>
  </si>
  <si>
    <t>Der Auslauf ist entweder eingestreut oder es wird den Schweinen langfaseriges organisches Beschäftigungsmaterial zur freien Verfügung im Auslauf angeboten.</t>
  </si>
  <si>
    <t>Geeignetes organisches langfaseriges Material im Stall zur freien Verfügung wird angeboten.</t>
  </si>
  <si>
    <t xml:space="preserve">z. B. Heu, Stroh.
Das Material kann in Raufen dargereicht werden. </t>
  </si>
  <si>
    <t>z. B. Langstroh, Heu, Silage oder vergleichbare Materialien. 
Holz und Seile zählen hier nicht als geeignetes organisches Material. 
Falls im Liegebereich flächendeckend Langstroh eingestreut wird, ist die Bereitstellung von weiteren Beschäftigungsmaterialien nicht verpflichtend.
Das organische Material kann in einer Raufe oder anderen Behältnissen angeboten werden. Das Beschäftigungsmaterial muss in einem Verhältnis von max. 12 Tieren pro Beschäftigungsplatz an den Raufen oder anderen Behältnissen angeboten werden.</t>
  </si>
  <si>
    <t>Rahmen-bedingungen FEZ P 2024</t>
  </si>
  <si>
    <t>RL Mastschwein 2024 
4.2</t>
  </si>
  <si>
    <t>RL Mastschwein 2024 
4.4</t>
  </si>
  <si>
    <t>RL Mastschwein 2024 
4.5</t>
  </si>
  <si>
    <t>RL Mastschwein 2024 
4.6</t>
  </si>
  <si>
    <t>RL Mastschwein 2024 
4.8</t>
  </si>
  <si>
    <t>RL Mastschwein 2024 
6.1</t>
  </si>
  <si>
    <t>RL Mastschwein 2024 
6.2</t>
  </si>
  <si>
    <t>RL Mastschwein 2024 
6.3</t>
  </si>
  <si>
    <t>RL Mastschwein 2024 
6.4</t>
  </si>
  <si>
    <t>RL Mastschwein 2024 
6.5</t>
  </si>
  <si>
    <t>MA FEZ&amp;FAZ 2024 
4.1</t>
  </si>
  <si>
    <t>Der Liegebereich ist planbefestigt, flächendeckend mit geeignetem Material eingestreut und trocken.</t>
  </si>
  <si>
    <t>Die Schadgaskonzentrationen liegen in Bereichen, die die Gesundheit der Tiere nicht beeinträchtigen.</t>
  </si>
  <si>
    <t>Antibiotika, die bei &gt; 30 % der Tiere (Jungsauen) angewendet werden sollen, werden nur nach Resistenztest angewendet.</t>
  </si>
  <si>
    <t>Auf Reserveantibiotika für die Humanmedizin wird verzichtet.</t>
  </si>
  <si>
    <t xml:space="preserve">Die Mindestflächen für den Liegebereich im Stall werden eingehalten. </t>
  </si>
  <si>
    <t xml:space="preserve">Die Platzanforderung von mind. 15 m² insgesamt wird eingehalten. </t>
  </si>
  <si>
    <t xml:space="preserve">Die Mindestfläche von 4 m² für den Liegebereich im Stall wird eingehalten. </t>
  </si>
  <si>
    <t>Der Liegebereich ist eingestreut.</t>
  </si>
  <si>
    <t xml:space="preserve">Die Platzanforderung von mind. 5 m² an den Auslauf wird eingehalten. </t>
  </si>
  <si>
    <t>Es sind ausreichend Krankenbuchten vorhanden.</t>
  </si>
  <si>
    <r>
      <t xml:space="preserve">Nachweis wird im  </t>
    </r>
    <r>
      <rPr>
        <b/>
        <sz val="10"/>
        <color theme="1"/>
        <rFont val="Arial"/>
        <family val="2"/>
      </rPr>
      <t>→ Betriebsbeschreibungbogen</t>
    </r>
    <r>
      <rPr>
        <sz val="10"/>
        <color theme="1"/>
        <rFont val="Arial"/>
        <family val="2"/>
      </rPr>
      <t xml:space="preserve"> bestätigt.
Dieser enthält u. a. die Datenschutzerklärung und eine Einwilligung zur Dateneinsicht durch den DTSchB.</t>
    </r>
  </si>
  <si>
    <t>Saugferkel: Allen Tieren wird jederzeit Zugang zu Beschäftigungsmaterial ermöglicht.</t>
  </si>
  <si>
    <t>Kapitel 4.2.4 RL FEZ P 2024</t>
  </si>
  <si>
    <r>
      <t xml:space="preserve">Prüfung des vorangegangenen Auditberichts und der darin festgehaltenen Korrekturmaßnahmen zur Abstellung der Abweichungen </t>
    </r>
    <r>
      <rPr>
        <b/>
        <sz val="10"/>
        <color theme="1"/>
        <rFont val="Arial"/>
        <family val="2"/>
      </rPr>
      <t xml:space="preserve"> </t>
    </r>
  </si>
  <si>
    <r>
      <t xml:space="preserve">Innerhalb eines Jahres nach Erstzertifizierung der Ferkelzeugung als Zukaufbetrieb muss der Betrieb einen mit der Beratung des DTSchB abgestimmten Entwicklungsplan für die Umstellung der Ferkelerzeugung auf die Anforderungen der → </t>
    </r>
    <r>
      <rPr>
        <b/>
        <sz val="10"/>
        <color theme="1"/>
        <rFont val="Arial"/>
        <family val="2"/>
      </rPr>
      <t>Richtlinie Ferkelerzeugung Premium</t>
    </r>
    <r>
      <rPr>
        <sz val="10"/>
        <color theme="1"/>
        <rFont val="Arial"/>
        <family val="2"/>
      </rPr>
      <t xml:space="preserve"> vorlegen. 
Der Umstellungszeitraum darf max. 10 Jahre ab Erstzertifizierung als Zukaufbetrieb betragen. Für Betriebe, die vor dem 01.07.2019 im TSL-System kontrolliert wurden, gilt der 01.07.2019 als Beginn des Umstellungszeitraums.
Zusätzlich zu diesen Mindestanforderungen müssen nach Ablauf der im Entwicklungsplan festgelegten Fristen die jeweiligen Anforderungen der → </t>
    </r>
    <r>
      <rPr>
        <b/>
        <sz val="10"/>
        <color theme="1"/>
        <rFont val="Arial"/>
        <family val="2"/>
      </rPr>
      <t xml:space="preserve"> Richtlinie Ferkelerzeugung Premium </t>
    </r>
    <r>
      <rPr>
        <sz val="10"/>
        <color theme="1"/>
        <rFont val="Arial"/>
        <family val="2"/>
      </rPr>
      <t>eingehalten werden. 
Eine Ausnahme gilt für Betriebe, die vor dem 15.11.2022 von Beratern des TSL erstberaten wurden. Von diesen Betrieben sind nach Ablauf der im Entwicklungsplan festgelegten Fristen die jeweiligen Anforderungen der Rahmenbedingungen (</t>
    </r>
    <r>
      <rPr>
        <sz val="10"/>
        <color theme="1"/>
        <rFont val="Calibri"/>
        <family val="2"/>
      </rPr>
      <t xml:space="preserve">→ </t>
    </r>
    <r>
      <rPr>
        <b/>
        <sz val="10"/>
        <color theme="1"/>
        <rFont val="Arial"/>
        <family val="2"/>
      </rPr>
      <t>MU 6.1</t>
    </r>
    <r>
      <rPr>
        <sz val="10"/>
        <color theme="1"/>
        <rFont val="Arial"/>
        <family val="2"/>
      </rPr>
      <t xml:space="preserve">) einzuhalten. </t>
    </r>
  </si>
  <si>
    <t>Sauen im Abferkelbereich: Jeder Sau steht ab Aufstallung in der Abferkelbucht bis nach Abschluss des Geburtsvorgangs ständig sicher erreichbares Nestbaumaterial zur Verfügung.</t>
  </si>
  <si>
    <t>Tier-Fressplatz-Verhältnis rationiert: 1:1; ad lib. (trocken): 3:1; ad lib. (Brei): 6:1</t>
  </si>
  <si>
    <t>Ein Auslauf ist vorhanden und ständig zugänglich.</t>
  </si>
  <si>
    <t>z. B. Langstroh, Heu, Silage oder vergleichbare Materialien 
Holz und Seile zählen hier nicht als geeignetes organisches Material. 
Falls im Liegebereich flächendeckend Langstroh eingestreut wird, ist die Bereitstellung von weiteren Beschäftigungsmaterialien nicht verpflichtend.
Das organische Material kann in einer Raufe oder anderen Behältnissen angeboten werden. Das Beschäftigungsmaterial muss in einem Verhältnis von max. 12 Tieren pro Beschäftigungsplatz an den Raufen oder anderen Behältnissen angeboten werden.</t>
  </si>
  <si>
    <t>Krankenbuchten sind als solche gekennzeichnet.</t>
  </si>
  <si>
    <r>
      <t>Gültig ab: 01.01.2024
*Übergangsfrist für Bestandsbetriebe (Zertifizierung vor 01.01.</t>
    </r>
    <r>
      <rPr>
        <sz val="8"/>
        <color theme="1"/>
        <rFont val="Arial"/>
        <family val="2"/>
      </rPr>
      <t>): Erfassung von Abweichungen ab 01.01., Berücksichtigung in Risikoeinstufung ab 01.07.</t>
    </r>
  </si>
  <si>
    <t xml:space="preserve">Die Mindestplatzanforderungen an den Auslauf werden eingehalten. </t>
  </si>
  <si>
    <t>7,5 m² Bruttofläche</t>
  </si>
  <si>
    <t xml:space="preserve">Die Mindestplatzanforderungen für den Auslauf werden eingehalten. </t>
  </si>
  <si>
    <t xml:space="preserve">Die Mindestplatzanforderungen für die Gesamtfläche (Stallgrundfläche und Auslauf) werden eingehalten. </t>
  </si>
  <si>
    <t>Die Mindestplatzanforderungen für die Stallgrundfläche werden eingehalten.</t>
  </si>
  <si>
    <t>z. B. Verletzungen, Lahmheiten, Immobilität, Apathie, Anzeichen von Schmerzen, Abmagerung, Symptome von Infektionserkrankungen, Abweichungen vom Normalverhalten.</t>
  </si>
  <si>
    <t xml:space="preserve">Bei Störungen des Allgemeinbefindens der Tiere werden wirksame Gegenmaßnahmen ergriffen und protokolliert. </t>
  </si>
  <si>
    <t>Die Krankenbuchten sind in mind. 2/3 der geforderten Fläche (Liegebereich) eingestreut.</t>
  </si>
  <si>
    <t xml:space="preserve">Die Mindestplatzanforderungen für Krankenbuchten werden erfüllt. </t>
  </si>
  <si>
    <t xml:space="preserve">Die Mindestplatzanforderungen für Krankenbuchten sind eingehalten. </t>
  </si>
  <si>
    <t>Die Mindestplatzanforderungen an die Gesamtfläche (Stallgrundfläche und Auslauf) werden eingehalten.</t>
  </si>
  <si>
    <r>
      <t>Gültig ab: 01.01</t>
    </r>
    <r>
      <rPr>
        <sz val="8"/>
        <rFont val="Arial"/>
        <family val="2"/>
      </rPr>
      <t>.2024</t>
    </r>
    <r>
      <rPr>
        <sz val="8"/>
        <color theme="1"/>
        <rFont val="Arial"/>
        <family val="2"/>
      </rPr>
      <t xml:space="preserve">
*Übergangsfrist für Bestandsbetriebe (Zertifizierung vor 01.01.</t>
    </r>
    <r>
      <rPr>
        <sz val="8"/>
        <color theme="1"/>
        <rFont val="Arial"/>
        <family val="2"/>
      </rPr>
      <t>): Erfassung von Abweichungen ab 01.01., Berücksichtigung in Risikoeinstufung ab 01.07.</t>
    </r>
  </si>
  <si>
    <t>Auf den Einsatz von PMSG wird verzichtet.*</t>
  </si>
  <si>
    <t>Einsatz von PMSG</t>
  </si>
  <si>
    <t>Der Transport von Absatzferkeln ist so geplant, dass die Transportstrecke nicht mehr als 200 km beträgt.</t>
  </si>
  <si>
    <t>Berechnung der geplanten Transportstrecke</t>
  </si>
  <si>
    <t>Berechnung der geplanten Transportdauer
Der Transport beginnt mit dem Beladen des ersten Tieres auf dem Herkunftsbetrieb und endet mit der Ankunft am Aufzuchtbetrieb.</t>
  </si>
  <si>
    <t>Sauen in Gruppenhaltung: Pro Bucht werden mind. 2 funktionsfähige Tränken vorgehalten.</t>
  </si>
  <si>
    <r>
      <t xml:space="preserve">Chirurgische Kastration von männlichen Ferkeln ohne Schmerzausschaltung und Betäubung = </t>
    </r>
    <r>
      <rPr>
        <b/>
        <sz val="10"/>
        <color theme="1"/>
        <rFont val="Arial"/>
        <family val="2"/>
      </rPr>
      <t>K.O.</t>
    </r>
    <r>
      <rPr>
        <sz val="10"/>
        <color theme="1"/>
        <rFont val="Arial"/>
        <family val="2"/>
      </rPr>
      <t xml:space="preserve">
Erlaubte Methoden sind die Jungebermast, die Impfung gegen Ebergeruch („Immunokastration“) sowie die chirurgische Kastration unter Allgemeinanästhesie kombiniert mit zusätzlicher Schmerzmittelgabe.</t>
    </r>
    <r>
      <rPr>
        <b/>
        <sz val="10"/>
        <color theme="1"/>
        <rFont val="Arial"/>
        <family val="2"/>
      </rPr>
      <t>.</t>
    </r>
  </si>
  <si>
    <t>Nur relevant für Betriebe, die in die Premiumkette liefern: Mit der Beratung des DTSchB wurde ein individueller Umstellungszeitraum für die Ferkelaufzucht vereinbart.</t>
  </si>
  <si>
    <t>Jede Bucht verfügt über mind. 2 funktionsfähige Tränken.</t>
  </si>
  <si>
    <t>Mind. eine Tränke ist gänzlich getrennt vom Futtertrog/Futterautomaten in einem Abstand von mind. 0,5 m platziert.</t>
  </si>
  <si>
    <t>Mind. eine der Tränken ist offen (z. B. Schalentränke).</t>
  </si>
  <si>
    <t>Jeder Sau steht eine Liegefläche von 
mind. 1,3 m² zur Verfügung.</t>
  </si>
  <si>
    <t>z. B. mittels Fressplatzteilern, durch Einzelfressstände</t>
  </si>
  <si>
    <t>Mind. eine Tränke ist gänzlich getrennt vom Futtertrog/Futterautomaten in einem Abstand von mind. 1 m platziert.</t>
  </si>
  <si>
    <t>Das Verhältnis von Tieren zu offenen Tränkeplätzen entspricht den Anforderungen.</t>
  </si>
  <si>
    <t xml:space="preserve">Max. 36 Tiere pro offener Tränkeplatz </t>
  </si>
  <si>
    <t>Je Bucht ist mind. eine offene Tränke vorhanden.</t>
  </si>
  <si>
    <t>Räumlich getrennt von den Mastbuchten; entsprechend den Anforderungen an Mastbuchten Premiumstufe sofern nicht weiter geregelt; für mind. 4 % des Bestandes, 
Auslauf muss nicht vorgesehen sein. 
Als Krankenbucht für Tiere mit nicht-infektiösen Erkrankungen bzw. Verletzungen ist auch eine Abtrennung eines Teilbereichs der Buchten zulässig.</t>
  </si>
  <si>
    <r>
      <t xml:space="preserve">Tier-Fressplatz-Verhältnis rationiert: 1:1; ad lib. (trocken): max. 3:1 (in Gruppen &lt; 30 Tieren) oder max. 4:1 (in Gruppen </t>
    </r>
    <r>
      <rPr>
        <u/>
        <sz val="10"/>
        <color theme="1"/>
        <rFont val="Arial"/>
        <family val="2"/>
      </rPr>
      <t>&gt;</t>
    </r>
    <r>
      <rPr>
        <sz val="10"/>
        <color theme="1"/>
        <rFont val="Arial"/>
        <family val="2"/>
      </rPr>
      <t xml:space="preserve"> 30 Tieren); ad lib. (Brei): 8:1. </t>
    </r>
  </si>
  <si>
    <r>
      <t xml:space="preserve">Tier-Fressplatz-Verhältnis rationiert: 1:1; ad lib. (trocken): max. 3:1 (in Gruppen mit 
</t>
    </r>
    <r>
      <rPr>
        <u/>
        <sz val="10"/>
        <color theme="1"/>
        <rFont val="Arial"/>
        <family val="2"/>
      </rPr>
      <t>&lt;</t>
    </r>
    <r>
      <rPr>
        <sz val="10"/>
        <color theme="1"/>
        <rFont val="Arial"/>
        <family val="2"/>
      </rPr>
      <t xml:space="preserve"> 29 Tieren) oder max. 4:1 (in Gruppen mit 
</t>
    </r>
    <r>
      <rPr>
        <u/>
        <sz val="10"/>
        <color theme="1"/>
        <rFont val="Arial"/>
        <family val="2"/>
      </rPr>
      <t>&gt;</t>
    </r>
    <r>
      <rPr>
        <sz val="10"/>
        <color theme="1"/>
        <rFont val="Arial"/>
        <family val="2"/>
      </rPr>
      <t xml:space="preserve"> 30 Tieren); ad lib. (Brei): 8:1. </t>
    </r>
  </si>
  <si>
    <t xml:space="preserve">Entsprechend den Anforderungen an Mastbuchten sofern nicht weiter geregelt; für mind. 4 % des Bestandes
Auslauf muss nicht vorgesehen sein. Als Krankenbucht für Tiere mit nicht-infektiösen Erkrankungen bzw. Verletzungen ist auch eine Abtrennung eines Teilbereichs der Buchten zulässig. </t>
  </si>
  <si>
    <t xml:space="preserve">Bei Grenzwertüberschreitung: Nachweis über die erfolgte Beratung muss vorliegen und Gegenmaßnahmen müssen dokumentiert werden. </t>
  </si>
  <si>
    <t>Mindestanforderungen Ferkelerzeugung und Ferkelaufzucht - erweitert</t>
  </si>
  <si>
    <t xml:space="preserve">Sofern aus gesundheitlichen oder anderen tierschutzrelevanten Gründen ein Wurfausgleich oder der Einsatz einer natürlichen Amme nicht möglich ist.
Eine Nutzung ist mit Begründung und der Beschreibung vorangegangener Maßnahmen zu dokumentieren. </t>
  </si>
  <si>
    <t>Protokolle des Tierhalters mit den aufgeführten Gegenmaßnahmen, die durchgeführt wurden, prüfen sowie die Dokumentation über die Entwicklung der Situation.</t>
  </si>
  <si>
    <t>Sensorische Schätzung.
Falls die sensorische Bewertung des Stallklimas während des Audits auffällig ist, muss eine technische Messung erfolgen.</t>
  </si>
  <si>
    <t>Vor allem im Sommerhalbjahr (Anfang April bis Ende Oktober).</t>
  </si>
  <si>
    <t xml:space="preserve">Schweine, die durch eine Verletzung oder Erkrankung sichtbar in ihrem Allgemeinbefinden gestört sind, oder Einzeltiere, die nicht in der Lage sind, selbstständig ausreichend Wasser u./o. Futter aufzunehmen, werden abgesondert, entsprechend versorgt u./o. behandelt oder tierschutzgerecht getötet. </t>
  </si>
  <si>
    <t>Antibiotika, die bei &gt; 30 % der Zuchtläufer angewendet werden sollen, werden nur nach Resistenztest angewendet.</t>
  </si>
  <si>
    <t>Reserveantibiotika für die Humanmedizin: Cephalosporine der 3. und 4. Generation und Fluorchinolone und Polypeptid-Antibiotika, s. RL Mastschwein Anhang 9.1. Sie dürfen ausnahmsweise nur im Falle eines Therapienotstandes und nach Vorliegen eines Resistenztests eingesetzt werden, wenn dessen Ergebnis nach ein Wirkstoff aus der Gruppe der Reserveantibiotika der einzige eindeutig sensible Wirkstoff ist.
Sollte es erforderlich sein, aus Tierschutzgründen eine Behandlung im Sinne einer Notfalltherapie einzuleiten, bevor das Ergebnis des Resistenztestes vorliegt, so muss dennoch im Nachgang ein Resistenztest durchgeführt werden. Die Notwendigkeit einer solchen Notfallbehandlung ist explizit und nachvollziehbar zu dokumentieren. Sonderregelung, wenn Probe am lebenden Tier nicht möglich oder nicht sinnvoll.</t>
  </si>
  <si>
    <t>Reserveantibiotika für die Humanmedizin: Cephalosporine der 3. und 4. Generation und Fluorchinolone und Polypeptid-Antibiotika, s.R L Mastschwein Anhang 9.1. Sie dürfen ausnahmsweise nur im Falle eines Therapienotstandes und nach Vorliegen eines Resistenztests eingesetzt werden, wenn dessen Ergebnis nach ein Wirkstoff aus der Gruppe der Reserveantibiotika der einzige eindeutig sensible Wirkstoff ist.
Sollte es erforderlich sein, aus Tierschutzgründen eine Behandlung im Sinne einer Notfalltherapie einzuleiten, bevor das Ergebnis des Resistenztestes vorliegt, so muss dennoch im Nachgang ein Resistenztest durchgeführt werden. Die Notwendigkeit einer solchen Notfallbehandlung ist explizit und nachvollziehbar zu dokumentieren. Sonderregelung, wenn Probe am lebenden Tier nicht möglich oder nicht sinnvoll.</t>
  </si>
  <si>
    <t>Leichtes Gefälle u./o. max. 3 % Perforation erlaubt; Langstroh, Häckselstroh, Hobelspäne oder vergleichbare organische Materialien erlaubt.
Flächendeckend bedeutet, dass auch bei inhomogener Verteilung der Einstreu die Gesamtmenge für eine Bedeckung des Liegebereichs ausreicht.</t>
  </si>
  <si>
    <t>n. a.</t>
  </si>
  <si>
    <t xml:space="preserve">Schweine, die durch eine Verletzung oder Erkrankung sichtbar in ihrem Allgemeinbefinden gestört sind, oder Einzeltiere, die nicht in der Lage sind, selbstständig ausreichend Wasser und/oder Futter aufzunehmen, werden abgesondert, entsprechend versorgt u./o. behandelt oder werden tierschutzgerecht getötet. </t>
  </si>
  <si>
    <t>Leichtes Gefälle u./o. max. 3 % Perforation erlaubt; 
Langstroh, Häckselstroh, Hobelspäne oder vergleichbare organische Materialien erlaubt
Flächendeckend bedeutet, dass auch bei inhomogener Verteilung der Einstreu die Gesamtmenge für eine Bedeckung des Liegebereichs ausreicht.</t>
  </si>
  <si>
    <t xml:space="preserve">&lt; 50 kg       0,80 m² je Tier                                                                    
50 - 120 kg  1,50 m² je Tier                                                                       
&gt; 120 kg     2,30 m² je Tier  </t>
  </si>
  <si>
    <t xml:space="preserve">&lt; 50 kg       0,40 m² je Tier                                                                    
50-120 kg   0,80 m² je Tier                                                                       
&gt; 120 kg     1,20 m² je Tier                                                         </t>
  </si>
  <si>
    <t>&lt; 50 kg        0,25 m² je Tier
50 - 120 kg   0,60 m² je Tier
&gt; 120 kg      0,90 m² je Tier                                                             
Die Bemessung des Liegebereiches erfolgt grundsätzlich exklusive evtl. Einrichtungen, d. h. den Tieren müssen die vorgegebenen Flächenmaße als Liegefläche uneingeschränkt zur Verfügung stehen.</t>
  </si>
  <si>
    <t>&lt; 50 kg        0,25 m² je Tier
50 - 120 kg  0,60 m² je Tier
&gt; 120 kg      0,90 m² je Tier                                                             
Die Bemessung des Liegebereiches erfolgt grundsätzlich exklusive evtl. Einrichtungen, d. h. den Tieren müssen die vorgegebenen Flächenmaße als Liegefläche uneingeschränkt zur Verfügung stehen.</t>
  </si>
  <si>
    <t xml:space="preserve">&lt; 50 kg       0,40 m² je Tier                                                                    
50 - 120 kg  0,80 m² je Tier                                                                       
&gt; 120 kg     1,20 m² je Tier                                                         </t>
  </si>
  <si>
    <t xml:space="preserve">&lt; 50 kg:       0,80 m² je Tier
50 - 120 kg: 1,50 m² je Tier 
&gt; 120 kg:     2,30 m² je Tier </t>
  </si>
  <si>
    <t xml:space="preserve">&lt; 50 kg        0,30 m² je Tier                                                                  
50 - 120 kg  0,50 m² je Tier                                                                  
&gt; 120 kg      0,80 m² je Tier                                               </t>
  </si>
  <si>
    <t xml:space="preserve">&lt; 50 kg:      0,80 m² je Tier
50 - 120 kg: 1,50 m² je Tier 
&gt; 120 kg:     2,30 m² je Tier </t>
  </si>
  <si>
    <t xml:space="preserve">Die Mindestplatzanforderungen an die Stallgrundfläche werden eingehalten. </t>
  </si>
  <si>
    <t xml:space="preserve">&lt; 50 kg        0,3 m² je Tier                                                                  
50 - 120 kg  0,5 m² je Tier                                                                  
&gt; 120 kg      0,8 m² je Tier                                               </t>
  </si>
  <si>
    <t xml:space="preserve"> s. Umstellungsplan</t>
  </si>
  <si>
    <r>
      <t xml:space="preserve">Keine ANG/BiB vorhanden = </t>
    </r>
    <r>
      <rPr>
        <b/>
        <sz val="10"/>
        <color theme="1"/>
        <rFont val="Arial"/>
        <family val="2"/>
      </rPr>
      <t xml:space="preserve">n. a. </t>
    </r>
  </si>
  <si>
    <t>Zugang zu allen Betriebseinheiten (sofern nicht in der ANG abweichend angegeben); unterscheidbare Ohrmarken für TSL- und Nicht-TSL-Sauen u./o. -Ferkel; getrennte Bestandsregister für alle Betriebseinheiten; explizite Kennzeichnung auf ausgehenden Lieferscheinen als TSL- oder Nicht-TSL-Tiere.</t>
  </si>
  <si>
    <t>Sauen in Gruppenhaltung: Sauen, die durch eine Verletzung oder Erkrankung sichtbar in ihrem Allgemeinbefinden gestört sind, oder Einzeltiere, die nicht in der Lage sind, selbstständig ausreichend Wasser u./o. Futter aufzunehmen, werden in Krankenbuchten abgesondert, entsprechend versorgt u./o. behandelt oder tierschutzgerecht getötet.</t>
  </si>
  <si>
    <t>Schweine, die durch eine Verletzung oder Erkrankung sichtbar in ihrem Allgemeinbefinden gestört sind, oder Einzeltiere, die nicht in der Lage sind, selbstständig ausreichend Wasser u./o. Futter aufzunehmen, werden in Krankenbuchten abgesondert, entsprechend versorgt u./o. behandelt oder tierschutzgerecht getötet.</t>
  </si>
  <si>
    <t>Die Bedingungen für eine ANG für "ausnahmsweise gestattete Parallelhaltung" werden eingehalten.</t>
  </si>
  <si>
    <t>Der Gesundheitszustand der Tiere wird 2x täglich durch eine nachweislich nach §26 (Absatz 1 Nr. 3) der TierSchNutztV sachkundige Person kontrolliert und protokolliert.</t>
  </si>
  <si>
    <t>Der Transport von Absatzferkeln ist so geplant, dass die Transportdauer 4 h nicht überschreitet.</t>
  </si>
  <si>
    <t>Auf den Einsatz von PMSG wird verzichtet.</t>
  </si>
  <si>
    <t>Sauen in Gruppenhaltung: Es sind Krankenbuchten vorhanden.</t>
  </si>
  <si>
    <t>Sauen in Gruppenhaltung: Krankenbuchten für Tiere mit Erkrankungen u./o. schwerwiegenden Verletzungen des Bewegungsapparates sind mind. in Teilflächen (Liegebereich) eingestreut oder weisen eine weiche Liegefläche z. B. in Form einer Gummimatte auf.</t>
  </si>
  <si>
    <t>Saugferkel: Auf die chirurgische Kastration von männlichen Ferkeln ohne Schmerzausschaltung und Betäubung wird verzichtet.</t>
  </si>
  <si>
    <t>• Standardverfahrensbeschreibung zur betriebsindividuellen Durchführung der Kastration liegt vor (→ MU 6.2).
• Dokumentation der selbstständigen Isofluran-Narkose bei mind. 100 Ferkeln oder bei mind. 3 Durchgängen liegt vor (→ MU 6.3).
• Dokumentation der mind. 1 x jährlichen Begleitung der Inhalationsnarkose durch den Tierarzt für einen gesamten Durchgang u./o. mind. eine Stunde liegt vor.
• Unterlagen und Dokumentationen, welche laut FerkBetSachV erforderlich sind, werden vorgehalten, auch die vom Tierarzt bei der Abgabe des Isofluran erstellten Anwendungs- und Abgabebelege.
• Verwendete Geräte beinhalten Filtersysteme und manipulationssichere Zählereinheiten und halten alle notwendigen Arbeitsschutzstandards ein. Alte Geräte werden entsprechend nachgerüstet und dies wird dokumentiert. 
• Heilungsfördernde und desinfizierende Wundsprays mit einer bestehenden Zulassung für Haut(-wunden) sind auf dem Betrieb vorhanden. 
• Warme Bereiche für die Ferkel, in welchen die Tiere vor der Sau weitgehend geschützt sind 
(z. B. Ferkelnest mit Wärmelampe), sind vorhanden.</t>
  </si>
  <si>
    <r>
      <t xml:space="preserve">Kupieren der Schwänze = </t>
    </r>
    <r>
      <rPr>
        <b/>
        <sz val="10"/>
        <color theme="1"/>
        <rFont val="Arial"/>
        <family val="2"/>
      </rPr>
      <t>K.O</t>
    </r>
    <r>
      <rPr>
        <sz val="10"/>
        <color theme="1"/>
        <rFont val="Arial"/>
        <family val="2"/>
      </rPr>
      <t xml:space="preserve">.
Für Betriebe, die Ferkel an Mastbetriebe der Einstiegsstufe liefern, gilt davon abweichend: 
Wenn der Mastbetrieb seit dem 01.01.2018 zertifiziert wurde: Kupieren des Schwanzes um mehr als 1/3 der Schwanzlänge u./o. es wird nicht in mind. einem Wurf der Verzicht auf das Schwanzkupieren erprobt = </t>
    </r>
    <r>
      <rPr>
        <b/>
        <sz val="10"/>
        <color theme="1"/>
        <rFont val="Arial"/>
        <family val="2"/>
      </rPr>
      <t>K.O.</t>
    </r>
  </si>
  <si>
    <t>4. Abferkelbereich</t>
  </si>
  <si>
    <t>5. Sauen vom Absetzen bis zur ersten Besamung nach dem Absetzen</t>
  </si>
  <si>
    <t>6. Tragende Sauen (inklusive möglicher Umrauscher)</t>
  </si>
  <si>
    <r>
      <t xml:space="preserve">7.  Anforderungen für die Haltung von Zuchtläufern </t>
    </r>
    <r>
      <rPr>
        <i/>
        <sz val="10"/>
        <color theme="1"/>
        <rFont val="Arial"/>
        <family val="2"/>
      </rPr>
      <t>(wenn im Umstellungsplan festgehalten ist, dass für Zuchtläufer die Anforderungen aus der Richtlinie Mastschwein (Premiumstufe) gelten)</t>
    </r>
  </si>
  <si>
    <r>
      <t xml:space="preserve">8. Anforderungen für die Haltung von Jungsauen </t>
    </r>
    <r>
      <rPr>
        <i/>
        <sz val="10"/>
        <color theme="1"/>
        <rFont val="Arial"/>
        <family val="2"/>
      </rPr>
      <t>(wenn im Umstellungsplan festgehalten ist, dass für Jungsauen die Anforderungen aus der Richtlinie Mastschwein (Premiumstufe) gelten)</t>
    </r>
  </si>
  <si>
    <t>9. Eber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</si>
</sst>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mm;@"/>
    <numFmt numFmtId="165" formatCode="0.0"/>
  </numFmts>
  <fonts count="28"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4"/>
      <color rgb="FF009EE3"/>
      <name val="Arial"/>
      <family val="2"/>
    </font>
    <font>
      <sz val="10"/>
      <color theme="1"/>
      <name val="Arial"/>
      <family val="2"/>
    </font>
    <font>
      <b/>
      <sz val="10"/>
      <color theme="1"/>
      <name val="Arial"/>
      <family val="2"/>
    </font>
    <font>
      <sz val="8"/>
      <color theme="1"/>
      <name val="Arial"/>
      <family val="2"/>
    </font>
    <font>
      <sz val="6"/>
      <color theme="1"/>
      <name val="Arial"/>
      <family val="2"/>
    </font>
    <font>
      <b/>
      <sz val="11"/>
      <color theme="1"/>
      <name val="Arial"/>
      <family val="2"/>
    </font>
    <font>
      <b/>
      <sz val="11"/>
      <color rgb="FFFF0000"/>
      <name val="Arial"/>
      <family val="2"/>
    </font>
    <font>
      <sz val="11"/>
      <color rgb="FFFF0000"/>
      <name val="Arial"/>
      <family val="2"/>
    </font>
    <font>
      <sz val="10"/>
      <color theme="1"/>
      <name val="Arial"/>
      <family val="2"/>
    </font>
    <font>
      <sz val="10"/>
      <color theme="1"/>
      <name val="Arial"/>
      <family val="2"/>
    </font>
    <font>
      <sz val="11"/>
      <color rgb="FF3F3F76"/>
      <name val="Arial"/>
      <family val="2"/>
    </font>
    <font>
      <sz val="11"/>
      <name val="Arial"/>
      <family val="2"/>
    </font>
    <font>
      <vertAlign val="superscript"/>
      <sz val="10"/>
      <color theme="1"/>
      <name val="Arial"/>
      <family val="2"/>
    </font>
    <font>
      <i/>
      <sz val="10"/>
      <color theme="1"/>
      <name val="Arial"/>
      <family val="2"/>
    </font>
    <font>
      <sz val="10"/>
      <name val="Arial"/>
      <family val="2"/>
    </font>
    <font>
      <sz val="10"/>
      <color theme="1"/>
      <name val="Calibri"/>
      <family val="2"/>
    </font>
    <font>
      <sz val="8"/>
      <name val="Arial"/>
      <family val="2"/>
    </font>
    <font>
      <b/>
      <i/>
      <sz val="10"/>
      <color theme="1"/>
      <name val="Arial"/>
      <family val="2"/>
    </font>
    <font>
      <u/>
      <sz val="10"/>
      <color theme="1"/>
      <name val="Arial"/>
      <family val="2"/>
    </font>
    <font>
      <sz val="10"/>
      <color rgb="FF000000"/>
      <name val="Arial"/>
      <family val="2"/>
    </font>
    <font>
      <sz val="10"/>
      <color rgb="FFFF0000"/>
      <name val="Arial"/>
      <family val="2"/>
    </font>
  </fonts>
  <fills count="7">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rgb="FFFFCC99"/>
      </patternFill>
    </fill>
    <fill>
      <patternFill patternType="solid">
        <fgColor theme="0"/>
        <bgColor indexed="64"/>
      </patternFill>
    </fill>
    <fill>
      <patternFill patternType="solid">
        <fgColor rgb="FFFFC0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theme="1"/>
      </bottom>
      <diagonal/>
    </border>
    <border>
      <left style="thin">
        <color indexed="64"/>
      </left>
      <right style="thin">
        <color indexed="64"/>
      </right>
      <top style="thin">
        <color theme="1"/>
      </top>
      <bottom style="thin">
        <color theme="1"/>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7" fillId="4" borderId="12" applyNumberFormat="0" applyAlignment="0" applyProtection="0"/>
  </cellStyleXfs>
  <cellXfs count="199">
    <xf numFmtId="0" fontId="0" fillId="0" borderId="0" xfId="0"/>
    <xf numFmtId="0" fontId="8" fillId="0" borderId="1" xfId="0" applyFont="1" applyBorder="1" applyAlignment="1" applyProtection="1">
      <alignment vertical="center"/>
      <protection locked="0"/>
    </xf>
    <xf numFmtId="0" fontId="8" fillId="0" borderId="0" xfId="0" applyFont="1" applyProtection="1"/>
    <xf numFmtId="0" fontId="8" fillId="0" borderId="0" xfId="0" applyFont="1" applyAlignment="1" applyProtection="1">
      <alignment horizontal="center" vertical="center"/>
    </xf>
    <xf numFmtId="0" fontId="8"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xf>
    <xf numFmtId="0" fontId="6" fillId="0" borderId="0" xfId="0" applyFont="1" applyProtection="1"/>
    <xf numFmtId="0" fontId="6" fillId="0" borderId="0" xfId="0" applyFont="1" applyAlignment="1" applyProtection="1">
      <alignment horizontal="right"/>
    </xf>
    <xf numFmtId="0" fontId="12" fillId="0" borderId="0" xfId="0" applyFont="1" applyAlignment="1" applyProtection="1">
      <alignment horizontal="center"/>
    </xf>
    <xf numFmtId="0" fontId="6" fillId="0" borderId="2" xfId="0" applyFont="1" applyBorder="1" applyAlignment="1" applyProtection="1"/>
    <xf numFmtId="0" fontId="6" fillId="0" borderId="0" xfId="0" applyFont="1" applyAlignment="1" applyProtection="1">
      <alignment vertical="center"/>
    </xf>
    <xf numFmtId="0" fontId="6" fillId="0" borderId="1" xfId="0" applyFont="1" applyBorder="1" applyAlignment="1" applyProtection="1">
      <alignment vertical="center"/>
    </xf>
    <xf numFmtId="0" fontId="6" fillId="0" borderId="1" xfId="0" applyFont="1" applyFill="1" applyBorder="1" applyAlignment="1" applyProtection="1">
      <alignment horizontal="right" vertical="center"/>
    </xf>
    <xf numFmtId="164" fontId="8" fillId="0" borderId="1" xfId="0" applyNumberFormat="1" applyFont="1" applyBorder="1" applyAlignment="1" applyProtection="1">
      <alignment horizontal="center" vertical="center"/>
      <protection locked="0"/>
    </xf>
    <xf numFmtId="20" fontId="8" fillId="0" borderId="1" xfId="0" applyNumberFormat="1"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6" fillId="0" borderId="0" xfId="0" applyFont="1" applyAlignment="1" applyProtection="1">
      <alignment horizontal="center" vertical="center"/>
    </xf>
    <xf numFmtId="0" fontId="10" fillId="0" borderId="0" xfId="0" applyFont="1" applyAlignment="1" applyProtection="1">
      <alignment horizontal="right" vertical="center"/>
    </xf>
    <xf numFmtId="0" fontId="10" fillId="0" borderId="0" xfId="0" applyFont="1" applyAlignment="1" applyProtection="1">
      <alignment horizontal="left" vertical="center"/>
    </xf>
    <xf numFmtId="0" fontId="10" fillId="0" borderId="0" xfId="0" applyFont="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left" vertical="center"/>
    </xf>
    <xf numFmtId="0" fontId="8" fillId="0" borderId="0" xfId="0" applyFont="1" applyAlignment="1" applyProtection="1">
      <alignment horizontal="right" vertical="center"/>
    </xf>
    <xf numFmtId="0" fontId="8" fillId="0" borderId="4" xfId="0" applyFont="1" applyBorder="1" applyAlignment="1" applyProtection="1">
      <alignment horizontal="center" vertical="center"/>
    </xf>
    <xf numFmtId="0" fontId="6" fillId="0" borderId="2" xfId="0" applyFont="1" applyBorder="1" applyAlignment="1" applyProtection="1">
      <alignment vertical="center"/>
    </xf>
    <xf numFmtId="0" fontId="6" fillId="0" borderId="2" xfId="0" applyFont="1" applyBorder="1" applyAlignment="1" applyProtection="1">
      <alignment horizontal="center" vertical="center"/>
    </xf>
    <xf numFmtId="0" fontId="8" fillId="0" borderId="0" xfId="0" applyFont="1" applyFill="1" applyProtection="1"/>
    <xf numFmtId="0" fontId="8" fillId="0" borderId="0" xfId="0" applyFont="1" applyFill="1" applyAlignment="1" applyProtection="1">
      <alignment horizontal="center" vertical="center"/>
    </xf>
    <xf numFmtId="0" fontId="6" fillId="0" borderId="0" xfId="0" applyFont="1" applyAlignment="1" applyProtection="1">
      <alignment horizontal="left" vertical="center"/>
    </xf>
    <xf numFmtId="1" fontId="8" fillId="0" borderId="0" xfId="0" applyNumberFormat="1" applyFont="1" applyBorder="1" applyAlignment="1" applyProtection="1">
      <alignment horizontal="left" vertical="center"/>
    </xf>
    <xf numFmtId="0" fontId="8" fillId="0" borderId="0" xfId="0" applyFont="1" applyBorder="1" applyAlignment="1" applyProtection="1">
      <alignment vertical="center"/>
    </xf>
    <xf numFmtId="49" fontId="8" fillId="0" borderId="0" xfId="0" applyNumberFormat="1" applyFont="1" applyBorder="1" applyAlignment="1" applyProtection="1">
      <alignment vertical="center" wrapText="1"/>
      <protection locked="0"/>
    </xf>
    <xf numFmtId="0" fontId="8" fillId="0" borderId="0" xfId="0" applyFont="1" applyBorder="1" applyAlignment="1" applyProtection="1">
      <alignment vertical="center" wrapText="1"/>
      <protection locked="0"/>
    </xf>
    <xf numFmtId="0" fontId="8" fillId="0" borderId="0" xfId="0" applyFont="1" applyBorder="1" applyAlignment="1" applyProtection="1">
      <alignment horizontal="center" vertical="center"/>
      <protection locked="0"/>
    </xf>
    <xf numFmtId="0" fontId="8" fillId="0" borderId="0" xfId="0" applyFont="1" applyBorder="1" applyAlignment="1" applyProtection="1">
      <alignment vertical="center"/>
      <protection locked="0"/>
    </xf>
    <xf numFmtId="165" fontId="8" fillId="0" borderId="0" xfId="0" applyNumberFormat="1" applyFont="1" applyBorder="1" applyAlignment="1" applyProtection="1">
      <alignment horizontal="center" vertical="center"/>
    </xf>
    <xf numFmtId="0" fontId="8" fillId="0" borderId="0" xfId="0" applyFont="1" applyBorder="1" applyAlignment="1" applyProtection="1">
      <alignment horizontal="center" vertical="center"/>
    </xf>
    <xf numFmtId="0" fontId="7" fillId="0" borderId="0" xfId="0" applyFont="1" applyAlignment="1" applyProtection="1">
      <alignment vertical="center"/>
    </xf>
    <xf numFmtId="0" fontId="8" fillId="0" borderId="0" xfId="0" applyFont="1" applyBorder="1" applyAlignment="1" applyProtection="1">
      <alignment horizontal="center" vertical="center" wrapText="1"/>
      <protection locked="0"/>
    </xf>
    <xf numFmtId="49" fontId="8" fillId="0" borderId="1" xfId="0" applyNumberFormat="1" applyFont="1" applyBorder="1" applyAlignment="1" applyProtection="1">
      <alignment horizontal="left" vertical="center" wrapText="1"/>
    </xf>
    <xf numFmtId="0" fontId="6" fillId="0" borderId="2" xfId="0" applyFont="1" applyBorder="1" applyProtection="1"/>
    <xf numFmtId="49" fontId="8" fillId="0" borderId="0" xfId="0" applyNumberFormat="1"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0" xfId="0" applyFont="1" applyBorder="1" applyAlignment="1" applyProtection="1">
      <alignment vertical="center" wrapText="1"/>
    </xf>
    <xf numFmtId="1" fontId="8" fillId="0" borderId="0" xfId="0" applyNumberFormat="1" applyFont="1" applyBorder="1" applyAlignment="1" applyProtection="1">
      <alignment horizontal="left" vertical="center"/>
      <protection locked="0"/>
    </xf>
    <xf numFmtId="165" fontId="8" fillId="0" borderId="0" xfId="0" applyNumberFormat="1" applyFont="1" applyBorder="1" applyAlignment="1" applyProtection="1">
      <alignment horizontal="center" vertical="center"/>
      <protection locked="0"/>
    </xf>
    <xf numFmtId="0" fontId="8" fillId="0" borderId="0" xfId="0" applyNumberFormat="1" applyFont="1" applyBorder="1" applyAlignment="1" applyProtection="1">
      <alignment horizontal="center" vertical="center"/>
      <protection locked="0"/>
    </xf>
    <xf numFmtId="0" fontId="8" fillId="0" borderId="0" xfId="0" applyFont="1" applyProtection="1">
      <protection locked="0"/>
    </xf>
    <xf numFmtId="49" fontId="8" fillId="0" borderId="0" xfId="0" applyNumberFormat="1" applyFont="1" applyBorder="1" applyAlignment="1" applyProtection="1">
      <alignment horizontal="left" vertical="center" wrapText="1"/>
      <protection locked="0"/>
    </xf>
    <xf numFmtId="0" fontId="8" fillId="0" borderId="0" xfId="0" applyFont="1" applyBorder="1" applyAlignment="1" applyProtection="1">
      <alignment horizontal="left" vertical="center" wrapText="1"/>
      <protection locked="0"/>
    </xf>
    <xf numFmtId="0" fontId="8" fillId="0" borderId="0" xfId="0" applyNumberFormat="1" applyFont="1" applyBorder="1" applyAlignment="1" applyProtection="1">
      <alignment horizontal="left" vertical="center" wrapText="1"/>
      <protection locked="0"/>
    </xf>
    <xf numFmtId="165" fontId="8" fillId="0" borderId="0" xfId="0" applyNumberFormat="1" applyFont="1" applyBorder="1" applyAlignment="1" applyProtection="1">
      <alignment horizontal="center" vertical="center" wrapText="1"/>
      <protection locked="0"/>
    </xf>
    <xf numFmtId="0" fontId="8" fillId="0" borderId="0" xfId="0" applyNumberFormat="1" applyFont="1" applyBorder="1" applyAlignment="1" applyProtection="1">
      <alignment horizontal="center" vertical="center" wrapText="1"/>
      <protection locked="0"/>
    </xf>
    <xf numFmtId="0" fontId="8" fillId="0" borderId="0" xfId="0" applyFont="1" applyBorder="1" applyProtection="1">
      <protection locked="0"/>
    </xf>
    <xf numFmtId="14" fontId="14" fillId="3" borderId="1" xfId="0" applyNumberFormat="1" applyFont="1" applyFill="1" applyBorder="1" applyAlignment="1" applyProtection="1">
      <alignment horizontal="right" vertical="center"/>
      <protection locked="0"/>
    </xf>
    <xf numFmtId="0" fontId="14" fillId="3" borderId="1" xfId="0" applyFont="1" applyFill="1" applyBorder="1" applyAlignment="1" applyProtection="1">
      <alignment horizontal="right" vertical="center"/>
      <protection locked="0"/>
    </xf>
    <xf numFmtId="1" fontId="15" fillId="0" borderId="0" xfId="0" applyNumberFormat="1" applyFont="1" applyBorder="1" applyAlignment="1" applyProtection="1">
      <alignment horizontal="left" vertical="center"/>
      <protection locked="0"/>
    </xf>
    <xf numFmtId="165" fontId="15" fillId="0" borderId="0" xfId="0" applyNumberFormat="1" applyFont="1" applyBorder="1" applyAlignment="1" applyProtection="1">
      <alignment horizontal="center" vertical="center"/>
      <protection locked="0"/>
    </xf>
    <xf numFmtId="49" fontId="15" fillId="0" borderId="0" xfId="0" applyNumberFormat="1" applyFont="1" applyBorder="1" applyAlignment="1" applyProtection="1">
      <alignment vertical="center" wrapText="1"/>
      <protection locked="0"/>
    </xf>
    <xf numFmtId="0" fontId="15" fillId="0" borderId="0" xfId="0" applyFont="1" applyBorder="1" applyAlignment="1" applyProtection="1">
      <alignment vertical="center" wrapText="1"/>
      <protection locked="0"/>
    </xf>
    <xf numFmtId="14" fontId="8" fillId="0" borderId="0" xfId="0" applyNumberFormat="1" applyFont="1" applyAlignment="1" applyProtection="1">
      <alignment horizontal="right" vertical="center"/>
      <protection locked="0"/>
    </xf>
    <xf numFmtId="0" fontId="4" fillId="0" borderId="1" xfId="0" applyFont="1" applyBorder="1" applyAlignment="1" applyProtection="1">
      <alignment vertical="center"/>
    </xf>
    <xf numFmtId="0" fontId="8" fillId="0" borderId="0" xfId="0" applyFont="1" applyAlignment="1" applyProtection="1">
      <alignment wrapText="1"/>
      <protection locked="0"/>
    </xf>
    <xf numFmtId="0" fontId="8" fillId="0" borderId="0" xfId="0" applyFont="1" applyAlignment="1" applyProtection="1">
      <alignment horizontal="left"/>
    </xf>
    <xf numFmtId="0" fontId="8" fillId="0" borderId="0" xfId="0" applyFont="1" applyAlignment="1" applyProtection="1">
      <alignment horizontal="center"/>
    </xf>
    <xf numFmtId="49" fontId="8" fillId="0" borderId="0" xfId="0" applyNumberFormat="1" applyFont="1" applyProtection="1"/>
    <xf numFmtId="0" fontId="16" fillId="0" borderId="0" xfId="0" applyNumberFormat="1" applyFont="1" applyBorder="1" applyAlignment="1" applyProtection="1">
      <alignment horizontal="left" vertical="center"/>
      <protection locked="0"/>
    </xf>
    <xf numFmtId="165" fontId="16" fillId="0" borderId="0" xfId="0" applyNumberFormat="1" applyFont="1" applyBorder="1" applyAlignment="1" applyProtection="1">
      <alignment horizontal="center" vertical="center"/>
      <protection locked="0"/>
    </xf>
    <xf numFmtId="0" fontId="16" fillId="0" borderId="0" xfId="0" applyNumberFormat="1" applyFont="1" applyBorder="1" applyAlignment="1" applyProtection="1">
      <alignment horizontal="center" vertical="center"/>
      <protection locked="0"/>
    </xf>
    <xf numFmtId="0" fontId="16" fillId="0" borderId="0" xfId="0" applyFont="1" applyBorder="1" applyAlignment="1" applyProtection="1">
      <alignment horizontal="left" vertical="center" wrapText="1"/>
      <protection locked="0"/>
    </xf>
    <xf numFmtId="0" fontId="16" fillId="0" borderId="0" xfId="0" applyFont="1" applyBorder="1" applyAlignment="1" applyProtection="1">
      <alignment horizontal="center" vertical="center"/>
      <protection locked="0"/>
    </xf>
    <xf numFmtId="0" fontId="16" fillId="0" borderId="0" xfId="0" applyFont="1" applyBorder="1" applyAlignment="1" applyProtection="1">
      <alignment horizontal="center" vertical="center" wrapText="1"/>
      <protection locked="0"/>
    </xf>
    <xf numFmtId="49" fontId="8" fillId="0" borderId="1" xfId="0" applyNumberFormat="1" applyFont="1" applyBorder="1" applyAlignment="1" applyProtection="1">
      <alignment horizontal="center" vertical="center" wrapText="1"/>
      <protection locked="0"/>
    </xf>
    <xf numFmtId="0" fontId="8" fillId="0" borderId="1" xfId="0" applyFont="1" applyBorder="1" applyAlignment="1" applyProtection="1">
      <alignment horizontal="left" vertical="center"/>
    </xf>
    <xf numFmtId="0" fontId="2" fillId="0" borderId="1" xfId="0" applyFont="1" applyBorder="1" applyAlignment="1" applyProtection="1">
      <alignment vertical="center"/>
    </xf>
    <xf numFmtId="0" fontId="1" fillId="0" borderId="1" xfId="0" applyFont="1" applyBorder="1" applyAlignment="1" applyProtection="1">
      <alignment vertical="center"/>
    </xf>
    <xf numFmtId="0" fontId="1" fillId="0" borderId="0" xfId="0" applyFont="1" applyAlignment="1" applyProtection="1">
      <alignment vertical="center"/>
    </xf>
    <xf numFmtId="14" fontId="6" fillId="0" borderId="0" xfId="0" applyNumberFormat="1" applyFont="1" applyAlignment="1" applyProtection="1">
      <alignment horizontal="right" vertical="center"/>
      <protection locked="0"/>
    </xf>
    <xf numFmtId="0" fontId="18" fillId="5" borderId="1" xfId="0" applyFont="1" applyFill="1" applyBorder="1" applyAlignment="1" applyProtection="1">
      <alignment horizontal="right" vertical="center"/>
    </xf>
    <xf numFmtId="0" fontId="17" fillId="0" borderId="13" xfId="1" applyFill="1" applyBorder="1" applyAlignment="1" applyProtection="1">
      <alignment horizontal="center" vertical="center"/>
      <protection locked="0"/>
    </xf>
    <xf numFmtId="0" fontId="17" fillId="0" borderId="14" xfId="1" applyFill="1" applyBorder="1" applyAlignment="1" applyProtection="1">
      <alignment horizontal="center" vertical="center"/>
      <protection locked="0"/>
    </xf>
    <xf numFmtId="0" fontId="1" fillId="0" borderId="0" xfId="0" applyFont="1" applyProtection="1"/>
    <xf numFmtId="0" fontId="8" fillId="0" borderId="0" xfId="0" applyFont="1" applyAlignment="1" applyProtection="1">
      <alignment horizontal="left"/>
    </xf>
    <xf numFmtId="0" fontId="8" fillId="0" borderId="0" xfId="0" applyFont="1" applyAlignment="1" applyProtection="1">
      <alignment horizontal="left" vertical="center"/>
    </xf>
    <xf numFmtId="0" fontId="1" fillId="0" borderId="1" xfId="0" applyFont="1" applyFill="1" applyBorder="1" applyAlignment="1" applyProtection="1">
      <alignment horizontal="right" vertical="center"/>
    </xf>
    <xf numFmtId="0" fontId="5" fillId="5" borderId="1" xfId="0" applyFont="1" applyFill="1" applyBorder="1" applyAlignment="1" applyProtection="1">
      <alignment horizontal="right" vertical="center"/>
    </xf>
    <xf numFmtId="0" fontId="8" fillId="0" borderId="1" xfId="0" applyFont="1" applyBorder="1" applyAlignment="1" applyProtection="1">
      <alignment horizontal="left" vertical="center" wrapText="1"/>
      <protection locked="0"/>
    </xf>
    <xf numFmtId="0" fontId="15" fillId="0" borderId="0" xfId="0" applyFont="1" applyBorder="1" applyAlignment="1" applyProtection="1">
      <alignment horizontal="left" vertical="center" wrapText="1"/>
      <protection locked="0"/>
    </xf>
    <xf numFmtId="0" fontId="21" fillId="0" borderId="0" xfId="0" applyFont="1" applyBorder="1" applyAlignment="1" applyProtection="1">
      <alignment horizontal="left" vertical="center" wrapText="1"/>
      <protection locked="0"/>
    </xf>
    <xf numFmtId="0" fontId="8" fillId="0" borderId="0" xfId="0" applyFont="1" applyAlignment="1" applyProtection="1">
      <alignment horizontal="left"/>
    </xf>
    <xf numFmtId="0" fontId="8" fillId="0" borderId="4" xfId="0" applyFont="1" applyBorder="1" applyAlignment="1" applyProtection="1">
      <alignment horizontal="center" vertical="center"/>
    </xf>
    <xf numFmtId="0" fontId="8" fillId="0" borderId="2" xfId="0" applyFont="1" applyBorder="1" applyAlignment="1" applyProtection="1">
      <alignment horizontal="left" vertical="center" wrapText="1"/>
    </xf>
    <xf numFmtId="0" fontId="8" fillId="0" borderId="0" xfId="0" applyNumberFormat="1" applyFont="1" applyBorder="1" applyAlignment="1" applyProtection="1">
      <alignment horizontal="left" vertical="center"/>
      <protection locked="0"/>
    </xf>
    <xf numFmtId="0" fontId="21" fillId="0" borderId="0" xfId="0" applyFont="1" applyBorder="1" applyAlignment="1" applyProtection="1">
      <alignment vertical="center" wrapText="1"/>
    </xf>
    <xf numFmtId="49" fontId="8" fillId="0" borderId="2" xfId="0" applyNumberFormat="1" applyFont="1" applyBorder="1" applyAlignment="1" applyProtection="1">
      <alignment horizontal="left" vertical="center" wrapText="1"/>
    </xf>
    <xf numFmtId="0" fontId="8" fillId="0" borderId="2" xfId="0" applyFont="1" applyBorder="1" applyAlignment="1" applyProtection="1">
      <alignment vertical="center" wrapText="1"/>
    </xf>
    <xf numFmtId="0" fontId="8" fillId="0" borderId="3" xfId="0" applyFont="1" applyBorder="1" applyAlignment="1" applyProtection="1">
      <alignment vertical="center" wrapText="1"/>
    </xf>
    <xf numFmtId="49" fontId="21" fillId="0" borderId="0" xfId="0" applyNumberFormat="1" applyFont="1" applyBorder="1" applyAlignment="1" applyProtection="1">
      <alignment horizontal="left" vertical="center" wrapText="1"/>
      <protection locked="0"/>
    </xf>
    <xf numFmtId="49" fontId="8" fillId="0" borderId="0" xfId="0" applyNumberFormat="1" applyFont="1" applyBorder="1" applyAlignment="1" applyProtection="1">
      <alignment vertical="center" wrapText="1"/>
    </xf>
    <xf numFmtId="49" fontId="8" fillId="0" borderId="2" xfId="0" applyNumberFormat="1" applyFont="1" applyBorder="1" applyAlignment="1" applyProtection="1">
      <alignment vertical="center" wrapText="1"/>
    </xf>
    <xf numFmtId="49" fontId="8" fillId="0" borderId="3" xfId="0" applyNumberFormat="1" applyFont="1" applyBorder="1" applyAlignment="1" applyProtection="1">
      <alignment vertical="center" wrapText="1"/>
    </xf>
    <xf numFmtId="49" fontId="8" fillId="5" borderId="3" xfId="0" applyNumberFormat="1" applyFont="1" applyFill="1" applyBorder="1" applyAlignment="1" applyProtection="1">
      <alignment vertical="center" wrapText="1"/>
    </xf>
    <xf numFmtId="0" fontId="8" fillId="0" borderId="3" xfId="0" applyFont="1" applyFill="1" applyBorder="1" applyAlignment="1" applyProtection="1">
      <alignment vertical="center" wrapText="1"/>
    </xf>
    <xf numFmtId="49" fontId="8" fillId="0" borderId="6" xfId="0" applyNumberFormat="1" applyFont="1" applyBorder="1" applyAlignment="1" applyProtection="1">
      <alignment vertical="center" wrapText="1"/>
    </xf>
    <xf numFmtId="0" fontId="8" fillId="0" borderId="6" xfId="0" applyFont="1" applyBorder="1" applyAlignment="1" applyProtection="1">
      <alignment vertical="center" wrapText="1"/>
    </xf>
    <xf numFmtId="0" fontId="8" fillId="5" borderId="0" xfId="0" applyFont="1" applyFill="1" applyBorder="1" applyAlignment="1" applyProtection="1">
      <alignment vertical="center" wrapText="1"/>
      <protection locked="0"/>
    </xf>
    <xf numFmtId="49" fontId="8" fillId="5" borderId="0" xfId="0" applyNumberFormat="1" applyFont="1" applyFill="1" applyBorder="1" applyAlignment="1" applyProtection="1">
      <alignment horizontal="left" vertical="center" wrapText="1"/>
      <protection locked="0"/>
    </xf>
    <xf numFmtId="0" fontId="20" fillId="5" borderId="0" xfId="0" applyFont="1" applyFill="1" applyBorder="1" applyAlignment="1" applyProtection="1">
      <alignment vertical="center" wrapText="1"/>
      <protection locked="0"/>
    </xf>
    <xf numFmtId="1" fontId="8" fillId="5" borderId="0" xfId="0" applyNumberFormat="1" applyFont="1" applyFill="1" applyBorder="1" applyAlignment="1" applyProtection="1">
      <alignment horizontal="left" vertical="center"/>
      <protection locked="0"/>
    </xf>
    <xf numFmtId="165" fontId="8" fillId="5" borderId="0" xfId="0" applyNumberFormat="1" applyFont="1" applyFill="1" applyBorder="1" applyAlignment="1" applyProtection="1">
      <alignment horizontal="center" vertical="center"/>
      <protection locked="0"/>
    </xf>
    <xf numFmtId="49" fontId="8" fillId="5" borderId="0" xfId="0" applyNumberFormat="1" applyFont="1" applyFill="1" applyBorder="1" applyAlignment="1" applyProtection="1">
      <alignment vertical="center" wrapText="1"/>
      <protection locked="0"/>
    </xf>
    <xf numFmtId="0" fontId="8" fillId="5" borderId="0" xfId="0" applyFont="1" applyFill="1" applyBorder="1" applyAlignment="1" applyProtection="1">
      <alignment horizontal="center" vertical="center"/>
      <protection locked="0"/>
    </xf>
    <xf numFmtId="0" fontId="8" fillId="5" borderId="0" xfId="0" applyFont="1" applyFill="1" applyBorder="1" applyAlignment="1" applyProtection="1">
      <alignment horizontal="left" vertical="center" wrapText="1"/>
      <protection locked="0"/>
    </xf>
    <xf numFmtId="0" fontId="8" fillId="5" borderId="0" xfId="0" applyFont="1" applyFill="1" applyProtection="1">
      <protection locked="0"/>
    </xf>
    <xf numFmtId="49" fontId="26" fillId="0" borderId="17" xfId="0" applyNumberFormat="1" applyFont="1" applyBorder="1" applyAlignment="1" applyProtection="1">
      <alignment horizontal="left" vertical="center" wrapText="1"/>
      <protection locked="0"/>
    </xf>
    <xf numFmtId="0" fontId="26" fillId="0" borderId="17" xfId="0" applyFont="1" applyBorder="1" applyAlignment="1" applyProtection="1">
      <alignment vertical="center" wrapText="1"/>
      <protection locked="0"/>
    </xf>
    <xf numFmtId="49" fontId="26" fillId="0" borderId="18" xfId="0" applyNumberFormat="1" applyFont="1" applyBorder="1" applyAlignment="1">
      <alignment horizontal="left" vertical="center" wrapText="1"/>
    </xf>
    <xf numFmtId="0" fontId="26" fillId="0" borderId="19" xfId="0" applyFont="1" applyBorder="1" applyAlignment="1" applyProtection="1">
      <alignment vertical="center" wrapText="1"/>
      <protection locked="0"/>
    </xf>
    <xf numFmtId="0" fontId="27" fillId="0" borderId="0" xfId="0" applyFont="1" applyBorder="1" applyAlignment="1" applyProtection="1">
      <alignment horizontal="left" vertical="center" wrapText="1"/>
      <protection locked="0"/>
    </xf>
    <xf numFmtId="0" fontId="8" fillId="6" borderId="2" xfId="0" applyFont="1" applyFill="1" applyBorder="1" applyAlignment="1" applyProtection="1">
      <alignment vertical="center" wrapText="1"/>
    </xf>
    <xf numFmtId="0" fontId="8" fillId="5" borderId="2" xfId="0" applyFont="1" applyFill="1" applyBorder="1" applyAlignment="1" applyProtection="1">
      <alignment vertical="center" wrapText="1"/>
    </xf>
    <xf numFmtId="1" fontId="15" fillId="0" borderId="2" xfId="0" applyNumberFormat="1" applyFont="1" applyBorder="1" applyAlignment="1" applyProtection="1">
      <alignment horizontal="left" vertical="center"/>
      <protection locked="0"/>
    </xf>
    <xf numFmtId="165" fontId="15" fillId="0" borderId="2" xfId="0" applyNumberFormat="1" applyFont="1" applyBorder="1" applyAlignment="1" applyProtection="1">
      <alignment horizontal="center" vertical="center"/>
      <protection locked="0"/>
    </xf>
    <xf numFmtId="49" fontId="8" fillId="0" borderId="2" xfId="0" applyNumberFormat="1" applyFont="1" applyBorder="1" applyAlignment="1" applyProtection="1">
      <alignment horizontal="left" vertical="center" wrapText="1"/>
      <protection locked="0"/>
    </xf>
    <xf numFmtId="0" fontId="8" fillId="0" borderId="2" xfId="0" applyFont="1" applyBorder="1" applyAlignment="1" applyProtection="1">
      <alignment vertical="center" wrapText="1"/>
      <protection locked="0"/>
    </xf>
    <xf numFmtId="0" fontId="16" fillId="0" borderId="2" xfId="0" applyFont="1" applyBorder="1" applyAlignment="1" applyProtection="1">
      <alignment horizontal="center" vertical="center"/>
      <protection locked="0"/>
    </xf>
    <xf numFmtId="0" fontId="15" fillId="0" borderId="2" xfId="0" applyFont="1" applyBorder="1" applyAlignment="1" applyProtection="1">
      <alignment horizontal="left" vertical="center" wrapText="1"/>
      <protection locked="0"/>
    </xf>
    <xf numFmtId="165" fontId="8" fillId="0" borderId="2" xfId="0" applyNumberFormat="1" applyFont="1" applyBorder="1" applyAlignment="1" applyProtection="1">
      <alignment horizontal="center" vertical="center"/>
      <protection locked="0"/>
    </xf>
    <xf numFmtId="0" fontId="8" fillId="0" borderId="2" xfId="0" applyNumberFormat="1" applyFont="1" applyBorder="1" applyAlignment="1" applyProtection="1">
      <alignment horizontal="center" vertical="center"/>
      <protection locked="0"/>
    </xf>
    <xf numFmtId="0" fontId="6" fillId="0" borderId="3" xfId="0" applyFont="1" applyBorder="1" applyAlignment="1" applyProtection="1">
      <alignment horizontal="right" vertical="center"/>
    </xf>
    <xf numFmtId="0" fontId="1" fillId="0" borderId="3" xfId="0" applyFont="1" applyBorder="1" applyAlignment="1" applyProtection="1">
      <alignment horizontal="center"/>
    </xf>
    <xf numFmtId="0" fontId="6" fillId="0" borderId="3" xfId="0" applyFont="1" applyBorder="1" applyAlignment="1" applyProtection="1">
      <alignment horizontal="center"/>
    </xf>
    <xf numFmtId="0" fontId="9" fillId="0" borderId="0" xfId="0" applyFont="1" applyAlignment="1" applyProtection="1">
      <alignment horizontal="left" vertical="center" wrapText="1"/>
    </xf>
    <xf numFmtId="0" fontId="8" fillId="0" borderId="1" xfId="0" applyFont="1" applyBorder="1" applyAlignment="1" applyProtection="1">
      <alignment horizontal="left" vertical="center"/>
    </xf>
    <xf numFmtId="0" fontId="8" fillId="0" borderId="1" xfId="0" applyFont="1" applyBorder="1" applyAlignment="1" applyProtection="1">
      <alignment horizontal="left" vertical="center" wrapText="1"/>
      <protection locked="0"/>
    </xf>
    <xf numFmtId="0" fontId="6" fillId="0" borderId="2" xfId="0" applyFont="1" applyBorder="1" applyAlignment="1" applyProtection="1">
      <alignment horizontal="center"/>
      <protection locked="0"/>
    </xf>
    <xf numFmtId="14" fontId="8" fillId="0" borderId="1" xfId="0" applyNumberFormat="1" applyFont="1" applyBorder="1" applyAlignment="1" applyProtection="1">
      <alignment horizontal="center" vertical="center"/>
      <protection locked="0"/>
    </xf>
    <xf numFmtId="49" fontId="8" fillId="0" borderId="1" xfId="0" applyNumberFormat="1" applyFont="1" applyBorder="1" applyAlignment="1" applyProtection="1">
      <alignment horizontal="left" vertical="center"/>
      <protection locked="0"/>
    </xf>
    <xf numFmtId="0" fontId="8" fillId="0" borderId="0" xfId="0" applyFont="1" applyAlignment="1" applyProtection="1">
      <alignment horizontal="left"/>
    </xf>
    <xf numFmtId="0" fontId="8" fillId="0" borderId="1" xfId="0" applyFont="1" applyBorder="1" applyAlignment="1" applyProtection="1">
      <alignment horizontal="left" vertical="center" wrapText="1"/>
    </xf>
    <xf numFmtId="0" fontId="8" fillId="0" borderId="4" xfId="0" applyFont="1" applyBorder="1" applyAlignment="1" applyProtection="1">
      <alignment horizontal="left" vertical="center" wrapText="1"/>
    </xf>
    <xf numFmtId="0" fontId="8" fillId="0" borderId="6" xfId="0" applyFont="1" applyBorder="1" applyAlignment="1" applyProtection="1">
      <alignment horizontal="left" vertical="center" wrapText="1"/>
    </xf>
    <xf numFmtId="0" fontId="8" fillId="0" borderId="5" xfId="0" applyFont="1" applyBorder="1" applyAlignment="1" applyProtection="1">
      <alignment horizontal="left" vertical="center" wrapText="1"/>
    </xf>
    <xf numFmtId="0" fontId="6" fillId="0" borderId="3" xfId="0" applyFont="1" applyBorder="1" applyAlignment="1" applyProtection="1">
      <alignment horizontal="left"/>
    </xf>
    <xf numFmtId="0" fontId="8" fillId="0" borderId="10" xfId="0" applyFont="1" applyBorder="1" applyAlignment="1" applyProtection="1">
      <alignment horizontal="left" vertical="center" wrapText="1"/>
    </xf>
    <xf numFmtId="0" fontId="8" fillId="0" borderId="3" xfId="0" applyFont="1" applyBorder="1" applyAlignment="1" applyProtection="1">
      <alignment horizontal="left" vertical="center" wrapText="1"/>
    </xf>
    <xf numFmtId="0" fontId="8" fillId="0" borderId="8" xfId="0" applyFont="1" applyBorder="1" applyAlignment="1" applyProtection="1">
      <alignment horizontal="left" vertical="center" wrapText="1"/>
    </xf>
    <xf numFmtId="0" fontId="8" fillId="0" borderId="15" xfId="0"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8" fillId="0" borderId="16" xfId="0" applyFont="1" applyBorder="1" applyAlignment="1" applyProtection="1">
      <alignment horizontal="left" vertical="center" wrapText="1"/>
    </xf>
    <xf numFmtId="0" fontId="7" fillId="0" borderId="0" xfId="0" applyFont="1" applyAlignment="1" applyProtection="1">
      <alignment horizontal="center" vertical="center"/>
    </xf>
    <xf numFmtId="0" fontId="9" fillId="2" borderId="1" xfId="0" applyFont="1" applyFill="1" applyBorder="1" applyAlignment="1" applyProtection="1">
      <alignment horizontal="center" vertical="center" wrapText="1"/>
    </xf>
    <xf numFmtId="49" fontId="8" fillId="0" borderId="1" xfId="0" applyNumberFormat="1" applyFont="1" applyBorder="1" applyAlignment="1" applyProtection="1">
      <alignment horizontal="left" vertical="center" wrapText="1"/>
      <protection locked="0"/>
    </xf>
    <xf numFmtId="0" fontId="6" fillId="0" borderId="2" xfId="0" applyFont="1" applyBorder="1" applyAlignment="1" applyProtection="1">
      <alignment horizontal="center"/>
    </xf>
    <xf numFmtId="49" fontId="8" fillId="0" borderId="4" xfId="0" applyNumberFormat="1" applyFont="1" applyBorder="1" applyAlignment="1" applyProtection="1">
      <alignment horizontal="center" vertical="center" wrapText="1"/>
    </xf>
    <xf numFmtId="49" fontId="8" fillId="0" borderId="6" xfId="0" applyNumberFormat="1" applyFont="1" applyBorder="1" applyAlignment="1" applyProtection="1">
      <alignment horizontal="center" vertical="center" wrapText="1"/>
    </xf>
    <xf numFmtId="49" fontId="8" fillId="0" borderId="5" xfId="0" applyNumberFormat="1" applyFont="1" applyBorder="1" applyAlignment="1" applyProtection="1">
      <alignment horizontal="center" vertical="center" wrapText="1"/>
    </xf>
    <xf numFmtId="49" fontId="8" fillId="0" borderId="4" xfId="0" applyNumberFormat="1" applyFont="1" applyBorder="1" applyAlignment="1" applyProtection="1">
      <alignment horizontal="left" vertical="center" wrapText="1"/>
      <protection locked="0"/>
    </xf>
    <xf numFmtId="49" fontId="8" fillId="0" borderId="6" xfId="0" applyNumberFormat="1" applyFont="1" applyBorder="1" applyAlignment="1" applyProtection="1">
      <alignment horizontal="left" vertical="center" wrapText="1"/>
      <protection locked="0"/>
    </xf>
    <xf numFmtId="49" fontId="8" fillId="0" borderId="5" xfId="0" applyNumberFormat="1" applyFont="1" applyBorder="1" applyAlignment="1" applyProtection="1">
      <alignment horizontal="left" vertical="center" wrapText="1"/>
      <protection locked="0"/>
    </xf>
    <xf numFmtId="0" fontId="6" fillId="0" borderId="3" xfId="0" applyFont="1" applyBorder="1" applyAlignment="1" applyProtection="1">
      <alignment horizontal="left" vertical="center"/>
    </xf>
    <xf numFmtId="0" fontId="6" fillId="0" borderId="3" xfId="0" applyFont="1" applyBorder="1" applyAlignment="1" applyProtection="1">
      <alignment horizontal="center" vertical="center"/>
    </xf>
    <xf numFmtId="0" fontId="9" fillId="2" borderId="1" xfId="0" applyFont="1" applyFill="1" applyBorder="1" applyAlignment="1" applyProtection="1">
      <alignment horizontal="center" vertical="center"/>
    </xf>
    <xf numFmtId="0" fontId="8" fillId="0" borderId="0" xfId="0" applyFont="1" applyAlignment="1" applyProtection="1">
      <alignment horizontal="left" vertical="center"/>
      <protection locked="0"/>
    </xf>
    <xf numFmtId="0" fontId="8" fillId="0" borderId="3" xfId="0" applyFont="1" applyBorder="1" applyAlignment="1" applyProtection="1">
      <alignment horizontal="left" vertical="center"/>
    </xf>
    <xf numFmtId="0" fontId="3" fillId="0" borderId="0" xfId="0" applyFont="1" applyAlignment="1" applyProtection="1">
      <alignment horizontal="left" vertical="center" wrapText="1"/>
    </xf>
    <xf numFmtId="0" fontId="6" fillId="0" borderId="0" xfId="0" applyFont="1" applyAlignment="1" applyProtection="1">
      <alignment horizontal="left" vertical="center" wrapText="1"/>
    </xf>
    <xf numFmtId="0" fontId="8" fillId="0" borderId="4"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4"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6" fillId="0" borderId="2" xfId="0" applyFont="1" applyBorder="1" applyAlignment="1" applyProtection="1">
      <alignment horizontal="left" vertical="center"/>
      <protection locked="0"/>
    </xf>
    <xf numFmtId="0" fontId="7" fillId="0" borderId="0" xfId="0" applyNumberFormat="1" applyFont="1" applyAlignment="1" applyProtection="1">
      <alignment horizontal="center" vertical="center"/>
    </xf>
    <xf numFmtId="0" fontId="9" fillId="2" borderId="10" xfId="0" applyFont="1" applyFill="1" applyBorder="1" applyAlignment="1" applyProtection="1">
      <alignment horizontal="left" vertical="center"/>
      <protection locked="0"/>
    </xf>
    <xf numFmtId="0" fontId="9" fillId="2" borderId="3" xfId="0" applyFont="1" applyFill="1" applyBorder="1" applyAlignment="1" applyProtection="1">
      <alignment horizontal="left" vertical="center"/>
      <protection locked="0"/>
    </xf>
    <xf numFmtId="0" fontId="9" fillId="2" borderId="8" xfId="0" applyFont="1" applyFill="1" applyBorder="1" applyAlignment="1" applyProtection="1">
      <alignment horizontal="left" vertical="center"/>
      <protection locked="0"/>
    </xf>
    <xf numFmtId="0" fontId="9" fillId="2" borderId="4" xfId="0" applyFont="1" applyFill="1" applyBorder="1" applyAlignment="1" applyProtection="1">
      <alignment horizontal="left" vertical="center"/>
    </xf>
    <xf numFmtId="0" fontId="9" fillId="2" borderId="6" xfId="0" applyFont="1" applyFill="1" applyBorder="1" applyAlignment="1" applyProtection="1">
      <alignment horizontal="left" vertical="center"/>
    </xf>
    <xf numFmtId="0" fontId="9" fillId="2" borderId="5" xfId="0" applyFont="1" applyFill="1" applyBorder="1" applyAlignment="1" applyProtection="1">
      <alignment horizontal="left" vertical="center"/>
    </xf>
    <xf numFmtId="0" fontId="9" fillId="2" borderId="11" xfId="0" applyFont="1" applyFill="1" applyBorder="1" applyAlignment="1" applyProtection="1">
      <alignment horizontal="left" vertical="center"/>
      <protection locked="0"/>
    </xf>
    <xf numFmtId="0" fontId="10" fillId="0" borderId="0" xfId="0" applyFont="1" applyAlignment="1" applyProtection="1">
      <alignment horizontal="center" vertical="center" wrapText="1"/>
    </xf>
    <xf numFmtId="0" fontId="10" fillId="0" borderId="0" xfId="0" applyFont="1" applyAlignment="1" applyProtection="1">
      <alignment horizontal="center" vertical="center"/>
    </xf>
    <xf numFmtId="0" fontId="8" fillId="0" borderId="2" xfId="0" applyFont="1" applyBorder="1" applyAlignment="1" applyProtection="1">
      <alignment horizontal="left" vertical="center"/>
      <protection locked="0"/>
    </xf>
    <xf numFmtId="0" fontId="8" fillId="0" borderId="9" xfId="0" applyFont="1" applyFill="1" applyBorder="1" applyAlignment="1" applyProtection="1">
      <alignment horizontal="left" vertical="center"/>
    </xf>
    <xf numFmtId="0" fontId="8" fillId="0" borderId="7" xfId="0" applyFont="1" applyFill="1" applyBorder="1" applyAlignment="1" applyProtection="1">
      <alignment horizontal="left" vertical="center"/>
    </xf>
    <xf numFmtId="0" fontId="8" fillId="0" borderId="9"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49" fontId="8" fillId="0" borderId="9" xfId="0" applyNumberFormat="1" applyFont="1" applyFill="1" applyBorder="1" applyAlignment="1" applyProtection="1">
      <alignment horizontal="center" vertical="center" wrapText="1"/>
    </xf>
    <xf numFmtId="49" fontId="8" fillId="0" borderId="7" xfId="0" applyNumberFormat="1"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0" fontId="8" fillId="0" borderId="7"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9" fillId="2" borderId="20" xfId="0" applyFont="1" applyFill="1" applyBorder="1" applyAlignment="1" applyProtection="1">
      <alignment horizontal="left" vertical="center"/>
      <protection locked="0"/>
    </xf>
    <xf numFmtId="0" fontId="9" fillId="2" borderId="0" xfId="0" applyFont="1" applyFill="1" applyBorder="1" applyAlignment="1" applyProtection="1">
      <alignment horizontal="left" vertical="center"/>
      <protection locked="0"/>
    </xf>
    <xf numFmtId="0" fontId="9" fillId="2" borderId="21" xfId="0" applyFont="1" applyFill="1" applyBorder="1" applyAlignment="1" applyProtection="1">
      <alignment horizontal="left" vertical="center"/>
      <protection locked="0"/>
    </xf>
    <xf numFmtId="0" fontId="12" fillId="0" borderId="0" xfId="0" applyFont="1" applyAlignment="1" applyProtection="1">
      <alignment horizontal="center"/>
    </xf>
    <xf numFmtId="0" fontId="5" fillId="0" borderId="0" xfId="0" applyFont="1" applyAlignment="1" applyProtection="1">
      <alignment horizontal="center" wrapText="1"/>
    </xf>
  </cellXfs>
  <cellStyles count="2">
    <cellStyle name="Eingabe" xfId="1" builtinId="20"/>
    <cellStyle name="Standard" xfId="0" builtinId="0"/>
  </cellStyles>
  <dxfs count="692">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rgb="FF000000"/>
        </top>
      </border>
    </dxf>
    <dxf>
      <font>
        <b val="0"/>
        <i val="0"/>
        <strike val="0"/>
        <condense val="0"/>
        <extend val="0"/>
        <outline val="0"/>
        <shadow val="0"/>
        <u val="none"/>
        <vertAlign val="baseline"/>
        <sz val="10"/>
        <color rgb="FF000000"/>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rgb="FF000000"/>
        </top>
      </border>
    </dxf>
    <dxf>
      <font>
        <b val="0"/>
        <i val="0"/>
        <strike val="0"/>
        <condense val="0"/>
        <extend val="0"/>
        <outline val="0"/>
        <shadow val="0"/>
        <u val="none"/>
        <vertAlign val="baseline"/>
        <sz val="10"/>
        <color rgb="FF000000"/>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rgb="FF000000"/>
        </top>
      </border>
    </dxf>
    <dxf>
      <font>
        <b val="0"/>
        <i val="0"/>
        <strike val="0"/>
        <condense val="0"/>
        <extend val="0"/>
        <outline val="0"/>
        <shadow val="0"/>
        <u val="none"/>
        <vertAlign val="baseline"/>
        <sz val="10"/>
        <color rgb="FF000000"/>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rgb="FF000000"/>
        </top>
      </border>
    </dxf>
    <dxf>
      <font>
        <b val="0"/>
        <i val="0"/>
        <strike val="0"/>
        <condense val="0"/>
        <extend val="0"/>
        <outline val="0"/>
        <shadow val="0"/>
        <u val="none"/>
        <vertAlign val="baseline"/>
        <sz val="10"/>
        <color rgb="FF000000"/>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rgb="FF000000"/>
        </top>
      </border>
    </dxf>
    <dxf>
      <font>
        <b val="0"/>
        <i val="0"/>
        <strike val="0"/>
        <condense val="0"/>
        <extend val="0"/>
        <outline val="0"/>
        <shadow val="0"/>
        <u val="none"/>
        <vertAlign val="baseline"/>
        <sz val="10"/>
        <color rgb="FF000000"/>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rgb="FF000000"/>
        </top>
      </border>
    </dxf>
    <dxf>
      <font>
        <b val="0"/>
        <i val="0"/>
        <strike val="0"/>
        <condense val="0"/>
        <extend val="0"/>
        <outline val="0"/>
        <shadow val="0"/>
        <u val="none"/>
        <vertAlign val="baseline"/>
        <sz val="10"/>
        <color rgb="FF000000"/>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rgb="FF000000"/>
        </top>
      </border>
    </dxf>
    <dxf>
      <font>
        <b val="0"/>
        <i val="0"/>
        <strike val="0"/>
        <condense val="0"/>
        <extend val="0"/>
        <outline val="0"/>
        <shadow val="0"/>
        <u val="none"/>
        <vertAlign val="baseline"/>
        <sz val="10"/>
        <color rgb="FF000000"/>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rgb="FF000000"/>
        </top>
      </border>
    </dxf>
    <dxf>
      <font>
        <b val="0"/>
        <i val="0"/>
        <strike val="0"/>
        <condense val="0"/>
        <extend val="0"/>
        <outline val="0"/>
        <shadow val="0"/>
        <u val="none"/>
        <vertAlign val="baseline"/>
        <sz val="10"/>
        <color rgb="FF000000"/>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rgb="FF000000"/>
        </top>
      </border>
    </dxf>
    <dxf>
      <font>
        <b val="0"/>
        <i val="0"/>
        <strike val="0"/>
        <condense val="0"/>
        <extend val="0"/>
        <outline val="0"/>
        <shadow val="0"/>
        <u val="none"/>
        <vertAlign val="baseline"/>
        <sz val="10"/>
        <color rgb="FF000000"/>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rgb="FF000000"/>
        </top>
      </border>
    </dxf>
    <dxf>
      <font>
        <b val="0"/>
        <i val="0"/>
        <strike val="0"/>
        <condense val="0"/>
        <extend val="0"/>
        <outline val="0"/>
        <shadow val="0"/>
        <u val="none"/>
        <vertAlign val="baseline"/>
        <sz val="10"/>
        <color rgb="FF000000"/>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rgb="FF000000"/>
        </top>
      </border>
    </dxf>
    <dxf>
      <font>
        <b val="0"/>
        <i val="0"/>
        <strike val="0"/>
        <condense val="0"/>
        <extend val="0"/>
        <outline val="0"/>
        <shadow val="0"/>
        <u val="none"/>
        <vertAlign val="baseline"/>
        <sz val="10"/>
        <color rgb="FF000000"/>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rgb="FF000000"/>
        </top>
      </border>
    </dxf>
    <dxf>
      <font>
        <b val="0"/>
        <i val="0"/>
        <strike val="0"/>
        <condense val="0"/>
        <extend val="0"/>
        <outline val="0"/>
        <shadow val="0"/>
        <u val="none"/>
        <vertAlign val="baseline"/>
        <sz val="10"/>
        <color rgb="FF000000"/>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rgb="FF000000"/>
        </top>
      </border>
    </dxf>
    <dxf>
      <font>
        <b val="0"/>
        <i val="0"/>
        <strike val="0"/>
        <condense val="0"/>
        <extend val="0"/>
        <outline val="0"/>
        <shadow val="0"/>
        <u val="none"/>
        <vertAlign val="baseline"/>
        <sz val="10"/>
        <color rgb="FF000000"/>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rgb="FF000000"/>
        </top>
      </border>
    </dxf>
    <dxf>
      <font>
        <b val="0"/>
        <i val="0"/>
        <strike val="0"/>
        <condense val="0"/>
        <extend val="0"/>
        <outline val="0"/>
        <shadow val="0"/>
        <u val="none"/>
        <vertAlign val="baseline"/>
        <sz val="10"/>
        <color rgb="FF000000"/>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rgb="FF000000"/>
        </top>
      </border>
    </dxf>
    <dxf>
      <font>
        <b val="0"/>
        <i val="0"/>
        <strike val="0"/>
        <condense val="0"/>
        <extend val="0"/>
        <outline val="0"/>
        <shadow val="0"/>
        <u val="none"/>
        <vertAlign val="baseline"/>
        <sz val="10"/>
        <color rgb="FF000000"/>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rgb="FF000000"/>
        </top>
      </border>
    </dxf>
    <dxf>
      <font>
        <b val="0"/>
        <i val="0"/>
        <strike val="0"/>
        <condense val="0"/>
        <extend val="0"/>
        <outline val="0"/>
        <shadow val="0"/>
        <u val="none"/>
        <vertAlign val="baseline"/>
        <sz val="10"/>
        <color rgb="FF000000"/>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rgb="FF000000"/>
        </top>
      </border>
    </dxf>
    <dxf>
      <font>
        <b val="0"/>
        <i val="0"/>
        <strike val="0"/>
        <condense val="0"/>
        <extend val="0"/>
        <outline val="0"/>
        <shadow val="0"/>
        <u val="none"/>
        <vertAlign val="baseline"/>
        <sz val="10"/>
        <color rgb="FF000000"/>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rgb="FF000000"/>
        </top>
      </border>
    </dxf>
    <dxf>
      <font>
        <b val="0"/>
        <i val="0"/>
        <strike val="0"/>
        <condense val="0"/>
        <extend val="0"/>
        <outline val="0"/>
        <shadow val="0"/>
        <u val="none"/>
        <vertAlign val="baseline"/>
        <sz val="10"/>
        <color rgb="FF000000"/>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left" vertical="center" textRotation="0" wrapText="1" indent="0" justifyLastLine="0" shrinkToFit="0" readingOrder="0"/>
      <protection locked="0" hidden="0"/>
    </dxf>
    <dxf>
      <numFmt numFmtId="0" formatCode="General"/>
      <alignment horizontal="center" textRotation="0" wrapText="0" indent="0" justifyLastLine="0" shrinkToFit="0" readingOrder="0"/>
      <protection locked="0" hidden="0"/>
    </dxf>
    <dxf>
      <numFmt numFmtId="165" formatCode="0.0"/>
      <alignment horizont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rgb="FF000000"/>
        </top>
      </border>
    </dxf>
    <dxf>
      <font>
        <b val="0"/>
        <i val="0"/>
        <strike val="0"/>
        <condense val="0"/>
        <extend val="0"/>
        <outline val="0"/>
        <shadow val="0"/>
        <u val="none"/>
        <vertAlign val="baseline"/>
        <sz val="10"/>
        <color rgb="FF000000"/>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0" formatCode="Genera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0" formatCode="General"/>
      <alignment horizontal="left" vertical="center" textRotation="0" wrapText="0" indent="0" justifyLastLine="0" shrinkToFit="0" readingOrder="0"/>
      <protection locked="0" hidden="0"/>
    </dxf>
    <dxf>
      <border outline="0">
        <top style="thin">
          <color rgb="FF000000"/>
        </top>
        <bottom style="thin">
          <color rgb="FF000000"/>
        </bottom>
      </border>
    </dxf>
    <dxf>
      <font>
        <b val="0"/>
        <i val="0"/>
        <strike val="0"/>
        <condense val="0"/>
        <extend val="0"/>
        <outline val="0"/>
        <shadow val="0"/>
        <u val="none"/>
        <vertAlign val="baseline"/>
        <sz val="10"/>
        <color rgb="FF000000"/>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1" hidden="0"/>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numFmt numFmtId="0" formatCode="General"/>
      <alignment horizontal="center" textRotation="0" wrapText="0" indent="0" justifyLastLine="0" shrinkToFit="0" readingOrder="0"/>
      <protection locked="0" hidden="0"/>
    </dxf>
    <dxf>
      <numFmt numFmtId="165" formatCode="0.0"/>
      <alignment horizont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0" formatCode="Genera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0" formatCode="General"/>
      <alignment horizontal="left" vertical="center" textRotation="0" wrapText="0" indent="0" justifyLastLine="0" shrinkToFit="0" readingOrder="0"/>
      <protection locked="0" hidden="0"/>
    </dxf>
    <dxf>
      <border outline="0">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1" hidden="0"/>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color theme="0"/>
      </font>
      <fill>
        <patternFill>
          <bgColor rgb="FFFF0000"/>
        </patternFill>
      </fill>
    </dxf>
    <dxf>
      <font>
        <color theme="1"/>
      </font>
      <fill>
        <patternFill>
          <bgColor rgb="FFFFFF00"/>
        </patternFill>
      </fill>
    </dxf>
    <dxf>
      <font>
        <color theme="1"/>
      </font>
      <fill>
        <patternFill>
          <bgColor rgb="FFFFAD53"/>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fill>
        <patternFill>
          <bgColor theme="0" tint="-0.24994659260841701"/>
        </patternFill>
      </fill>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0" tint="-0.24994659260841701"/>
        </left>
        <right style="thin">
          <color theme="0" tint="-0.24994659260841701"/>
        </right>
        <top style="thin">
          <color theme="0" tint="-0.24994659260841701"/>
        </top>
        <bottom style="thin">
          <color theme="0" tint="-0.24994659260841701"/>
        </bottom>
        <horizontal style="thin">
          <color theme="0" tint="-0.24994659260841701"/>
        </horizontal>
      </border>
    </dxf>
  </dxfs>
  <tableStyles count="2" defaultTableStyle="TSL_1" defaultPivotStyle="PivotStyleMedium9">
    <tableStyle name="TSL" pivot="0" count="9">
      <tableStyleElement type="wholeTable" dxfId="691"/>
      <tableStyleElement type="headerRow" dxfId="690"/>
      <tableStyleElement type="totalRow" dxfId="689"/>
      <tableStyleElement type="firstColumn" dxfId="688"/>
      <tableStyleElement type="lastColumn" dxfId="687"/>
      <tableStyleElement type="firstRowStripe" dxfId="686"/>
      <tableStyleElement type="secondRowStripe" dxfId="685"/>
      <tableStyleElement type="firstColumnStripe" dxfId="684"/>
      <tableStyleElement type="secondColumnStripe" dxfId="683"/>
    </tableStyle>
    <tableStyle name="TSL_1" pivot="0" count="9">
      <tableStyleElement type="wholeTable" dxfId="682"/>
      <tableStyleElement type="headerRow" dxfId="681"/>
      <tableStyleElement type="totalRow" dxfId="680"/>
      <tableStyleElement type="firstColumn" dxfId="679"/>
      <tableStyleElement type="lastColumn" dxfId="678"/>
      <tableStyleElement type="firstRowStripe" dxfId="677"/>
      <tableStyleElement type="secondRowStripe" dxfId="676"/>
      <tableStyleElement type="firstColumnStripe" dxfId="675"/>
      <tableStyleElement type="secondColumnStripe" dxfId="674"/>
    </tableStyle>
  </tableStyles>
  <colors>
    <mruColors>
      <color rgb="FFFFC000"/>
      <color rgb="FFFFC0FF"/>
      <color rgb="FFFFAD53"/>
      <color rgb="FFFF6600"/>
      <color rgb="FF808080"/>
      <color rgb="FFFFFF99"/>
      <color rgb="FF009EE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id="2" name="Prüfkriterien_1" displayName="Prüfkriterien_1" ref="B9:M19" totalsRowShown="0" headerRowDxfId="635" dataDxfId="634" tableBorderDxfId="633">
  <autoFilter ref="B9:M19"/>
  <tableColumns count="12">
    <tableColumn id="1" name="Lfd. Nr" dataDxfId="632">
      <calculatedColumnFormula>CONCATENATE("1.",Prüfkriterien_1[[#This Row],[Hilfsspalte_Num]])</calculatedColumnFormula>
    </tableColumn>
    <tableColumn id="2" name="Hilfsspalte_Num" dataDxfId="631">
      <calculatedColumnFormula>ROW()-ROW(Prüfkriterien_1[[#Headers],[Hilfsspalte_Kom]])</calculatedColumnFormula>
    </tableColumn>
    <tableColumn id="12" name="Hilfsspalte_Kom" dataDxfId="630">
      <calculatedColumnFormula>(Prüfkriterien_1[Hilfsspalte_Num]+10)/10</calculatedColumnFormula>
    </tableColumn>
    <tableColumn id="3" name="Kapitel_x000a_Richtlinie" dataDxfId="629"/>
    <tableColumn id="4" name="Kriterium" dataDxfId="628"/>
    <tableColumn id="5" name="Erläuterung / _x000a_Durchführungshinweis" dataDxfId="627"/>
    <tableColumn id="6" name="Bewertung" dataDxfId="626"/>
    <tableColumn id="7" name="Spalte1" dataDxfId="625"/>
    <tableColumn id="8" name="Spalte2" dataDxfId="624"/>
    <tableColumn id="9" name="Spalte3" dataDxfId="623"/>
    <tableColumn id="10" name="Spalte4" dataDxfId="622"/>
    <tableColumn id="11" name="Beschreibung" dataDxfId="621"/>
  </tableColumns>
  <tableStyleInfo name="TSL_1" showFirstColumn="0" showLastColumn="0" showRowStripes="1" showColumnStripes="0"/>
</table>
</file>

<file path=xl/tables/table10.xml><?xml version="1.0" encoding="utf-8"?>
<table xmlns="http://schemas.openxmlformats.org/spreadsheetml/2006/main" id="10" name="Prüfkriterien_10" displayName="Prüfkriterien_10" ref="B105:M110" totalsRowShown="0" headerRowDxfId="500" dataDxfId="499" tableBorderDxfId="498">
  <autoFilter ref="B105:M110"/>
  <tableColumns count="12">
    <tableColumn id="1" name="Spalte1" dataDxfId="497">
      <calculatedColumnFormula>CONCATENATE("10.",Prüfkriterien_10[[#This Row],[Spalte2]])</calculatedColumnFormula>
    </tableColumn>
    <tableColumn id="2" name="Spalte2" dataDxfId="496">
      <calculatedColumnFormula>ROW()-ROW(Prüfkriterien_10[[#Headers],[Spalte3]])</calculatedColumnFormula>
    </tableColumn>
    <tableColumn id="3" name="Spalte3" dataDxfId="495">
      <calculatedColumnFormula>(Prüfkriterien_10[Spalte2]+100)/10</calculatedColumnFormula>
    </tableColumn>
    <tableColumn id="4" name="Spalte4" dataDxfId="494"/>
    <tableColumn id="5" name="Spalte5" dataDxfId="493"/>
    <tableColumn id="6" name="Spalte6" dataDxfId="492"/>
    <tableColumn id="7" name="Spalte7" dataDxfId="491"/>
    <tableColumn id="8" name="Spalte8" dataDxfId="490"/>
    <tableColumn id="9" name="Spalte9" dataDxfId="489"/>
    <tableColumn id="10" name="Spalte10" dataDxfId="488"/>
    <tableColumn id="11" name="Spalte11" dataDxfId="487"/>
    <tableColumn id="12" name="Spalte12" dataDxfId="486"/>
  </tableColumns>
  <tableStyleInfo name="TSL_1" showFirstColumn="0" showLastColumn="0" showRowStripes="1" showColumnStripes="0"/>
</table>
</file>

<file path=xl/tables/table11.xml><?xml version="1.0" encoding="utf-8"?>
<table xmlns="http://schemas.openxmlformats.org/spreadsheetml/2006/main" id="11" name="Prüfkriterien_11" displayName="Prüfkriterien_11" ref="B112:M117" totalsRowShown="0" headerRowDxfId="485" dataDxfId="484" tableBorderDxfId="483">
  <autoFilter ref="B112:M117"/>
  <tableColumns count="12">
    <tableColumn id="1" name="Spalte1" dataDxfId="482">
      <calculatedColumnFormula>CONCATENATE("11.",Prüfkriterien_11[[#This Row],[Spalte2]])</calculatedColumnFormula>
    </tableColumn>
    <tableColumn id="2" name="Spalte2" dataDxfId="481">
      <calculatedColumnFormula>ROW()-ROW(Prüfkriterien_11[[#Headers],[Spalte3]])</calculatedColumnFormula>
    </tableColumn>
    <tableColumn id="3" name="Spalte3" dataDxfId="480">
      <calculatedColumnFormula>(Prüfkriterien_11[Spalte2]+110)/10</calculatedColumnFormula>
    </tableColumn>
    <tableColumn id="4" name="Spalte4" dataDxfId="479"/>
    <tableColumn id="5" name="Spalte5" dataDxfId="478"/>
    <tableColumn id="6" name="Spalte6" dataDxfId="477"/>
    <tableColumn id="7" name="Spalte7" dataDxfId="476"/>
    <tableColumn id="8" name="Spalte8" dataDxfId="475"/>
    <tableColumn id="9" name="Spalte9" dataDxfId="474"/>
    <tableColumn id="10" name="Spalte10" dataDxfId="473"/>
    <tableColumn id="11" name="Spalte11" dataDxfId="472"/>
    <tableColumn id="12" name="Spalte12" dataDxfId="471"/>
  </tableColumns>
  <tableStyleInfo name="TSL_1" showFirstColumn="0" showLastColumn="0" showRowStripes="1" showColumnStripes="0"/>
</table>
</file>

<file path=xl/tables/table12.xml><?xml version="1.0" encoding="utf-8"?>
<table xmlns="http://schemas.openxmlformats.org/spreadsheetml/2006/main" id="12" name="Prüfkriterien_1113" displayName="Prüfkriterien_1113" ref="B119:M124" totalsRowShown="0" headerRowDxfId="470" dataDxfId="469" tableBorderDxfId="468">
  <autoFilter ref="B119:M124"/>
  <tableColumns count="12">
    <tableColumn id="1" name="Spalte1" dataDxfId="467">
      <calculatedColumnFormula>CONCATENATE("12.",Prüfkriterien_1113[[#This Row],[Spalte2]])</calculatedColumnFormula>
    </tableColumn>
    <tableColumn id="2" name="Spalte2" dataDxfId="466">
      <calculatedColumnFormula>ROW()-ROW(Prüfkriterien_1113[[#Headers],[Spalte3]])</calculatedColumnFormula>
    </tableColumn>
    <tableColumn id="3" name="Spalte3" dataDxfId="465">
      <calculatedColumnFormula>(Prüfkriterien_1113[Spalte2]+120)/10</calculatedColumnFormula>
    </tableColumn>
    <tableColumn id="4" name="Spalte4" dataDxfId="464"/>
    <tableColumn id="5" name="Spalte5" dataDxfId="463"/>
    <tableColumn id="6" name="Spalte6" dataDxfId="462"/>
    <tableColumn id="7" name="Spalte7" dataDxfId="461"/>
    <tableColumn id="8" name="Spalte8" dataDxfId="460"/>
    <tableColumn id="9" name="Spalte9" dataDxfId="459"/>
    <tableColumn id="10" name="Spalte10" dataDxfId="458"/>
    <tableColumn id="11" name="Spalte11" dataDxfId="457"/>
    <tableColumn id="12" name="Spalte12" dataDxfId="456"/>
  </tableColumns>
  <tableStyleInfo name="TSL_1" showFirstColumn="0" showLastColumn="0" showRowStripes="1" showColumnStripes="0"/>
</table>
</file>

<file path=xl/tables/table13.xml><?xml version="1.0" encoding="utf-8"?>
<table xmlns="http://schemas.openxmlformats.org/spreadsheetml/2006/main" id="13" name="Prüfkriterien_1114" displayName="Prüfkriterien_1114" ref="B126:M131" totalsRowShown="0" headerRowDxfId="455" dataDxfId="454" tableBorderDxfId="453">
  <autoFilter ref="B126:M131"/>
  <tableColumns count="12">
    <tableColumn id="1" name="Spalte1" dataDxfId="452">
      <calculatedColumnFormula>CONCATENATE("13.",Prüfkriterien_1114[[#This Row],[Spalte2]])</calculatedColumnFormula>
    </tableColumn>
    <tableColumn id="2" name="Spalte2" dataDxfId="451">
      <calculatedColumnFormula>ROW()-ROW(Prüfkriterien_1114[[#Headers],[Spalte3]])</calculatedColumnFormula>
    </tableColumn>
    <tableColumn id="3" name="Spalte3" dataDxfId="450">
      <calculatedColumnFormula>(Prüfkriterien_1114[Spalte2]+130)/10</calculatedColumnFormula>
    </tableColumn>
    <tableColumn id="4" name="Spalte4" dataDxfId="449"/>
    <tableColumn id="5" name="Spalte5" dataDxfId="448"/>
    <tableColumn id="6" name="Spalte6" dataDxfId="447"/>
    <tableColumn id="7" name="Spalte7" dataDxfId="446"/>
    <tableColumn id="8" name="Spalte8" dataDxfId="445"/>
    <tableColumn id="9" name="Spalte9" dataDxfId="444"/>
    <tableColumn id="10" name="Spalte10" dataDxfId="443"/>
    <tableColumn id="11" name="Spalte11" dataDxfId="442"/>
    <tableColumn id="12" name="Spalte12" dataDxfId="441"/>
  </tableColumns>
  <tableStyleInfo name="TSL_1" showFirstColumn="0" showLastColumn="0" showRowStripes="1" showColumnStripes="0"/>
</table>
</file>

<file path=xl/tables/table14.xml><?xml version="1.0" encoding="utf-8"?>
<table xmlns="http://schemas.openxmlformats.org/spreadsheetml/2006/main" id="14" name="Prüfkriterien_1115" displayName="Prüfkriterien_1115" ref="B133:M138" totalsRowShown="0" headerRowDxfId="440" dataDxfId="439" tableBorderDxfId="438">
  <autoFilter ref="B133:M138"/>
  <tableColumns count="12">
    <tableColumn id="1" name="Spalte1" dataDxfId="437">
      <calculatedColumnFormula>CONCATENATE("14.",Prüfkriterien_1115[[#This Row],[Spalte2]])</calculatedColumnFormula>
    </tableColumn>
    <tableColumn id="2" name="Spalte2" dataDxfId="436">
      <calculatedColumnFormula>ROW()-ROW(Prüfkriterien_1115[[#Headers],[Spalte3]])</calculatedColumnFormula>
    </tableColumn>
    <tableColumn id="3" name="Spalte3" dataDxfId="435">
      <calculatedColumnFormula>(Prüfkriterien_1115[Spalte2]+140)/10</calculatedColumnFormula>
    </tableColumn>
    <tableColumn id="4" name="Spalte4" dataDxfId="434"/>
    <tableColumn id="5" name="Spalte5" dataDxfId="433"/>
    <tableColumn id="6" name="Spalte6" dataDxfId="432"/>
    <tableColumn id="7" name="Spalte7" dataDxfId="431"/>
    <tableColumn id="8" name="Spalte8" dataDxfId="430"/>
    <tableColumn id="9" name="Spalte9" dataDxfId="429"/>
    <tableColumn id="10" name="Spalte10" dataDxfId="428"/>
    <tableColumn id="11" name="Spalte11" dataDxfId="427"/>
    <tableColumn id="12" name="Spalte12" dataDxfId="426"/>
  </tableColumns>
  <tableStyleInfo name="TSL_1" showFirstColumn="0" showLastColumn="0" showRowStripes="1" showColumnStripes="0"/>
</table>
</file>

<file path=xl/tables/table15.xml><?xml version="1.0" encoding="utf-8"?>
<table xmlns="http://schemas.openxmlformats.org/spreadsheetml/2006/main" id="15" name="Prüfkriterien_1116" displayName="Prüfkriterien_1116" ref="B140:M145" totalsRowShown="0" headerRowDxfId="425" dataDxfId="424" tableBorderDxfId="423">
  <autoFilter ref="B140:M145"/>
  <tableColumns count="12">
    <tableColumn id="1" name="Spalte1" dataDxfId="422">
      <calculatedColumnFormula>CONCATENATE("15.",Prüfkriterien_1116[[#This Row],[Spalte2]])</calculatedColumnFormula>
    </tableColumn>
    <tableColumn id="2" name="Spalte2" dataDxfId="421">
      <calculatedColumnFormula>ROW()-ROW(Prüfkriterien_1116[[#Headers],[Spalte3]])</calculatedColumnFormula>
    </tableColumn>
    <tableColumn id="3" name="Spalte3" dataDxfId="420">
      <calculatedColumnFormula>(Prüfkriterien_1116[Spalte2]+150)/10</calculatedColumnFormula>
    </tableColumn>
    <tableColumn id="4" name="Spalte4" dataDxfId="419"/>
    <tableColumn id="5" name="Spalte5" dataDxfId="418"/>
    <tableColumn id="6" name="Spalte6" dataDxfId="417"/>
    <tableColumn id="7" name="Spalte7" dataDxfId="416"/>
    <tableColumn id="8" name="Spalte8" dataDxfId="415"/>
    <tableColumn id="9" name="Spalte9" dataDxfId="414"/>
    <tableColumn id="10" name="Spalte10" dataDxfId="413"/>
    <tableColumn id="11" name="Spalte11" dataDxfId="412"/>
    <tableColumn id="12" name="Spalte12" dataDxfId="411"/>
  </tableColumns>
  <tableStyleInfo name="TSL_1" showFirstColumn="0" showLastColumn="0" showRowStripes="1" showColumnStripes="0"/>
</table>
</file>

<file path=xl/tables/table16.xml><?xml version="1.0" encoding="utf-8"?>
<table xmlns="http://schemas.openxmlformats.org/spreadsheetml/2006/main" id="16" name="Prüfkriterien_1117" displayName="Prüfkriterien_1117" ref="B147:M152" totalsRowShown="0" headerRowDxfId="410" dataDxfId="409" tableBorderDxfId="408">
  <autoFilter ref="B147:M152"/>
  <tableColumns count="12">
    <tableColumn id="1" name="Spalte1" dataDxfId="407">
      <calculatedColumnFormula>CONCATENATE("16.",Prüfkriterien_1117[[#This Row],[Spalte2]])</calculatedColumnFormula>
    </tableColumn>
    <tableColumn id="2" name="Spalte2" dataDxfId="406">
      <calculatedColumnFormula>ROW()-ROW(Prüfkriterien_1117[[#Headers],[Spalte3]])</calculatedColumnFormula>
    </tableColumn>
    <tableColumn id="3" name="Spalte3" dataDxfId="405">
      <calculatedColumnFormula>(Prüfkriterien_1117[Spalte2]+160)/10</calculatedColumnFormula>
    </tableColumn>
    <tableColumn id="4" name="Spalte4" dataDxfId="404"/>
    <tableColumn id="5" name="Spalte5" dataDxfId="403"/>
    <tableColumn id="6" name="Spalte6" dataDxfId="402"/>
    <tableColumn id="7" name="Spalte7" dataDxfId="401"/>
    <tableColumn id="8" name="Spalte8" dataDxfId="400"/>
    <tableColumn id="9" name="Spalte9" dataDxfId="399"/>
    <tableColumn id="10" name="Spalte10" dataDxfId="398"/>
    <tableColumn id="11" name="Spalte11" dataDxfId="397"/>
    <tableColumn id="12" name="Spalte12" dataDxfId="396"/>
  </tableColumns>
  <tableStyleInfo name="TSL_1" showFirstColumn="0" showLastColumn="0" showRowStripes="1" showColumnStripes="0"/>
</table>
</file>

<file path=xl/tables/table17.xml><?xml version="1.0" encoding="utf-8"?>
<table xmlns="http://schemas.openxmlformats.org/spreadsheetml/2006/main" id="17" name="Prüfkriterien_1118" displayName="Prüfkriterien_1118" ref="B154:M159" totalsRowShown="0" headerRowDxfId="395" dataDxfId="394" tableBorderDxfId="393">
  <autoFilter ref="B154:M159"/>
  <tableColumns count="12">
    <tableColumn id="1" name="Spalte1" dataDxfId="392">
      <calculatedColumnFormula>CONCATENATE("17.",Prüfkriterien_1118[[#This Row],[Spalte2]])</calculatedColumnFormula>
    </tableColumn>
    <tableColumn id="2" name="Spalte2" dataDxfId="391">
      <calculatedColumnFormula>ROW()-ROW(Prüfkriterien_1118[[#Headers],[Spalte3]])</calculatedColumnFormula>
    </tableColumn>
    <tableColumn id="3" name="Spalte3" dataDxfId="390">
      <calculatedColumnFormula>(Prüfkriterien_1118[Spalte2]+170)/10</calculatedColumnFormula>
    </tableColumn>
    <tableColumn id="4" name="Spalte4" dataDxfId="389"/>
    <tableColumn id="5" name="Spalte5" dataDxfId="388"/>
    <tableColumn id="6" name="Spalte6" dataDxfId="387"/>
    <tableColumn id="7" name="Spalte7" dataDxfId="386"/>
    <tableColumn id="8" name="Spalte8" dataDxfId="385"/>
    <tableColumn id="9" name="Spalte9" dataDxfId="384"/>
    <tableColumn id="10" name="Spalte10" dataDxfId="383"/>
    <tableColumn id="11" name="Spalte11" dataDxfId="382"/>
    <tableColumn id="12" name="Spalte12" dataDxfId="381"/>
  </tableColumns>
  <tableStyleInfo name="TSL_1" showFirstColumn="0" showLastColumn="0" showRowStripes="1" showColumnStripes="0"/>
</table>
</file>

<file path=xl/tables/table18.xml><?xml version="1.0" encoding="utf-8"?>
<table xmlns="http://schemas.openxmlformats.org/spreadsheetml/2006/main" id="18" name="Prüfkriterien_1119" displayName="Prüfkriterien_1119" ref="B161:M166" totalsRowShown="0" headerRowDxfId="380" dataDxfId="379" tableBorderDxfId="378">
  <autoFilter ref="B161:M166"/>
  <tableColumns count="12">
    <tableColumn id="1" name="Spalte1" dataDxfId="377">
      <calculatedColumnFormula>CONCATENATE("18.",Prüfkriterien_1119[[#This Row],[Spalte2]])</calculatedColumnFormula>
    </tableColumn>
    <tableColumn id="2" name="Spalte2" dataDxfId="376">
      <calculatedColumnFormula>ROW()-ROW(Prüfkriterien_1119[[#Headers],[Spalte3]])</calculatedColumnFormula>
    </tableColumn>
    <tableColumn id="3" name="Spalte3" dataDxfId="375">
      <calculatedColumnFormula>(Prüfkriterien_1119[Spalte2]+180)/10</calculatedColumnFormula>
    </tableColumn>
    <tableColumn id="4" name="Spalte4" dataDxfId="374"/>
    <tableColumn id="5" name="Spalte5" dataDxfId="373"/>
    <tableColumn id="6" name="Spalte6" dataDxfId="372"/>
    <tableColumn id="7" name="Spalte7" dataDxfId="371"/>
    <tableColumn id="8" name="Spalte8" dataDxfId="370"/>
    <tableColumn id="9" name="Spalte9" dataDxfId="369"/>
    <tableColumn id="10" name="Spalte10" dataDxfId="368"/>
    <tableColumn id="11" name="Spalte11" dataDxfId="367"/>
    <tableColumn id="12" name="Spalte12" dataDxfId="366"/>
  </tableColumns>
  <tableStyleInfo name="TSL_1" showFirstColumn="0" showLastColumn="0" showRowStripes="1" showColumnStripes="0"/>
</table>
</file>

<file path=xl/tables/table19.xml><?xml version="1.0" encoding="utf-8"?>
<table xmlns="http://schemas.openxmlformats.org/spreadsheetml/2006/main" id="19" name="Prüfkriterien_1120" displayName="Prüfkriterien_1120" ref="B168:M173" totalsRowShown="0" headerRowDxfId="365" dataDxfId="364" tableBorderDxfId="363">
  <autoFilter ref="B168:M173"/>
  <tableColumns count="12">
    <tableColumn id="1" name="Spalte1" dataDxfId="362">
      <calculatedColumnFormula>CONCATENATE("19.",Prüfkriterien_1120[[#This Row],[Spalte2]])</calculatedColumnFormula>
    </tableColumn>
    <tableColumn id="2" name="Spalte2" dataDxfId="361">
      <calculatedColumnFormula>ROW()-ROW(Prüfkriterien_1120[[#Headers],[Spalte3]])</calculatedColumnFormula>
    </tableColumn>
    <tableColumn id="3" name="Spalte3" dataDxfId="360">
      <calculatedColumnFormula>(Prüfkriterien_1120[Spalte2]+190)/10</calculatedColumnFormula>
    </tableColumn>
    <tableColumn id="4" name="Spalte4" dataDxfId="359"/>
    <tableColumn id="5" name="Spalte5" dataDxfId="358"/>
    <tableColumn id="6" name="Spalte6" dataDxfId="357"/>
    <tableColumn id="7" name="Spalte7" dataDxfId="356"/>
    <tableColumn id="8" name="Spalte8" dataDxfId="355"/>
    <tableColumn id="9" name="Spalte9" dataDxfId="354"/>
    <tableColumn id="10" name="Spalte10" dataDxfId="353"/>
    <tableColumn id="11" name="Spalte11" dataDxfId="352"/>
    <tableColumn id="12" name="Spalte12" dataDxfId="351"/>
  </tableColumns>
  <tableStyleInfo name="TSL_1" showFirstColumn="0" showLastColumn="0" showRowStripes="1" showColumnStripes="0"/>
</table>
</file>

<file path=xl/tables/table2.xml><?xml version="1.0" encoding="utf-8"?>
<table xmlns="http://schemas.openxmlformats.org/spreadsheetml/2006/main" id="3" name="Prüfkriterien_2" displayName="Prüfkriterien_2" ref="B21:M44" totalsRowShown="0" headerRowDxfId="620" dataDxfId="619" tableBorderDxfId="618">
  <autoFilter ref="B21:M44"/>
  <tableColumns count="12">
    <tableColumn id="1" name="Spalte1" dataDxfId="617">
      <calculatedColumnFormula>CONCATENATE("2.",Prüfkriterien_2[[#This Row],[Spalte2]])</calculatedColumnFormula>
    </tableColumn>
    <tableColumn id="2" name="Spalte2" dataDxfId="616">
      <calculatedColumnFormula>ROW()-ROW(Prüfkriterien_2[[#Headers],[Spalte3]])</calculatedColumnFormula>
    </tableColumn>
    <tableColumn id="3" name="Spalte3" dataDxfId="615">
      <calculatedColumnFormula>(Prüfkriterien_2[[#This Row],[Spalte2]]+20)/10</calculatedColumnFormula>
    </tableColumn>
    <tableColumn id="4" name="Spalte4" dataDxfId="614"/>
    <tableColumn id="5" name="Spalte5" dataDxfId="613"/>
    <tableColumn id="6" name="Spalte6" dataDxfId="612"/>
    <tableColumn id="7" name="Spalte7" dataDxfId="611"/>
    <tableColumn id="8" name="Spalte8" dataDxfId="610"/>
    <tableColumn id="9" name="Spalte9" dataDxfId="609"/>
    <tableColumn id="10" name="Spalte10" dataDxfId="608"/>
    <tableColumn id="11" name="Spalte11" dataDxfId="607"/>
    <tableColumn id="12" name="Spalte12" dataDxfId="606"/>
  </tableColumns>
  <tableStyleInfo name="TSL_1" showFirstColumn="0" showLastColumn="0" showRowStripes="1" showColumnStripes="0"/>
</table>
</file>

<file path=xl/tables/table20.xml><?xml version="1.0" encoding="utf-8"?>
<table xmlns="http://schemas.openxmlformats.org/spreadsheetml/2006/main" id="20" name="Prüfkriterien_1121" displayName="Prüfkriterien_1121" ref="B175:M180" totalsRowShown="0" headerRowDxfId="350" dataDxfId="349" tableBorderDxfId="348">
  <autoFilter ref="B175:M180"/>
  <tableColumns count="12">
    <tableColumn id="1" name="Spalte1" dataDxfId="347">
      <calculatedColumnFormula>CONCATENATE("20.",Prüfkriterien_1121[[#This Row],[Spalte2]])</calculatedColumnFormula>
    </tableColumn>
    <tableColumn id="2" name="Spalte2" dataDxfId="346">
      <calculatedColumnFormula>ROW()-ROW(Prüfkriterien_1121[[#Headers],[Spalte3]])</calculatedColumnFormula>
    </tableColumn>
    <tableColumn id="3" name="Spalte3" dataDxfId="345">
      <calculatedColumnFormula>(Prüfkriterien_1121[Spalte2]+200)/10</calculatedColumnFormula>
    </tableColumn>
    <tableColumn id="4" name="Spalte4" dataDxfId="344"/>
    <tableColumn id="5" name="Spalte5" dataDxfId="343"/>
    <tableColumn id="6" name="Spalte6" dataDxfId="342"/>
    <tableColumn id="7" name="Spalte7" dataDxfId="341"/>
    <tableColumn id="8" name="Spalte8" dataDxfId="340"/>
    <tableColumn id="9" name="Spalte9" dataDxfId="339"/>
    <tableColumn id="10" name="Spalte10" dataDxfId="338"/>
    <tableColumn id="11" name="Spalte11" dataDxfId="337"/>
    <tableColumn id="12" name="Spalte12" dataDxfId="336"/>
  </tableColumns>
  <tableStyleInfo name="TSL_1" showFirstColumn="0" showLastColumn="0" showRowStripes="1" showColumnStripes="0"/>
</table>
</file>

<file path=xl/tables/table21.xml><?xml version="1.0" encoding="utf-8"?>
<table xmlns="http://schemas.openxmlformats.org/spreadsheetml/2006/main" id="41" name="Prüfkriterien_142" displayName="Prüfkriterien_142" ref="B9:M17" totalsRowShown="0" headerRowDxfId="299" dataDxfId="298" tableBorderDxfId="297">
  <autoFilter ref="B9:M17"/>
  <tableColumns count="12">
    <tableColumn id="1" name="Lfd. Nr" dataDxfId="296">
      <calculatedColumnFormula>CONCATENATE("1.",Prüfkriterien_142[[#This Row],[Hilfsspalte_Num]])</calculatedColumnFormula>
    </tableColumn>
    <tableColumn id="2" name="Hilfsspalte_Num" dataDxfId="295">
      <calculatedColumnFormula>ROW()-ROW(Prüfkriterien_142[[#Headers],[Hilfsspalte_Kom]])</calculatedColumnFormula>
    </tableColumn>
    <tableColumn id="12" name="Hilfsspalte_Kom" dataDxfId="294">
      <calculatedColumnFormula>(Prüfkriterien_142[Hilfsspalte_Num]+10)/10</calculatedColumnFormula>
    </tableColumn>
    <tableColumn id="3" name="Kapitel_x000a_Richtlinie" dataDxfId="293"/>
    <tableColumn id="4" name="Kriterium" dataDxfId="292"/>
    <tableColumn id="5" name="Erläuterung / _x000a_Durchführungshinweis" dataDxfId="291"/>
    <tableColumn id="6" name="Bewertung" dataDxfId="290"/>
    <tableColumn id="7" name="Spalte1" dataDxfId="289"/>
    <tableColumn id="8" name="Spalte2" dataDxfId="288"/>
    <tableColumn id="9" name="Spalte3" dataDxfId="287"/>
    <tableColumn id="10" name="Spalte4" dataDxfId="286"/>
    <tableColumn id="11" name="Beschreibung" dataDxfId="285"/>
  </tableColumns>
  <tableStyleInfo name="TSL_1" showFirstColumn="0" showLastColumn="0" showRowStripes="1" showColumnStripes="0"/>
</table>
</file>

<file path=xl/tables/table22.xml><?xml version="1.0" encoding="utf-8"?>
<table xmlns="http://schemas.openxmlformats.org/spreadsheetml/2006/main" id="42" name="Prüfkriterien_243" displayName="Prüfkriterien_243" ref="B19:M30" totalsRowShown="0" headerRowDxfId="284" dataDxfId="283" tableBorderDxfId="282">
  <autoFilter ref="B19:M30"/>
  <tableColumns count="12">
    <tableColumn id="1" name="Spalte1" dataDxfId="281">
      <calculatedColumnFormula>CONCATENATE("2.",Prüfkriterien_243[[#This Row],[Spalte2]])</calculatedColumnFormula>
    </tableColumn>
    <tableColumn id="2" name="Spalte2" dataDxfId="280">
      <calculatedColumnFormula>ROW()-ROW(Prüfkriterien_243[[#Headers],[Spalte3]])</calculatedColumnFormula>
    </tableColumn>
    <tableColumn id="3" name="Spalte3" dataDxfId="279">
      <calculatedColumnFormula>(Prüfkriterien_243[[#This Row],[Spalte2]]+20)/10</calculatedColumnFormula>
    </tableColumn>
    <tableColumn id="4" name="Spalte4" dataDxfId="278"/>
    <tableColumn id="5" name="Spalte5" dataDxfId="277"/>
    <tableColumn id="6" name="Spalte6" dataDxfId="276"/>
    <tableColumn id="7" name="Spalte7" dataDxfId="275"/>
    <tableColumn id="8" name="Spalte8" dataDxfId="274"/>
    <tableColumn id="9" name="Spalte9" dataDxfId="273"/>
    <tableColumn id="10" name="Spalte10" dataDxfId="272"/>
    <tableColumn id="11" name="Spalte11" dataDxfId="271"/>
    <tableColumn id="12" name="Spalte12" dataDxfId="270"/>
  </tableColumns>
  <tableStyleInfo name="TSL_1" showFirstColumn="0" showLastColumn="0" showRowStripes="1" showColumnStripes="0"/>
</table>
</file>

<file path=xl/tables/table23.xml><?xml version="1.0" encoding="utf-8"?>
<table xmlns="http://schemas.openxmlformats.org/spreadsheetml/2006/main" id="43" name="Prüfkriterien_344" displayName="Prüfkriterien_344" ref="B32:M43" totalsRowShown="0" headerRowDxfId="269" dataDxfId="268" tableBorderDxfId="267">
  <autoFilter ref="B32:M43"/>
  <tableColumns count="12">
    <tableColumn id="1" name="Spalte1" dataDxfId="266">
      <calculatedColumnFormula>CONCATENATE("3.",Prüfkriterien_344[[#This Row],[Spalte2]])</calculatedColumnFormula>
    </tableColumn>
    <tableColumn id="2" name="Spalte2" dataDxfId="265">
      <calculatedColumnFormula>ROW()-ROW(Prüfkriterien_344[[#Headers],[Spalte3]])</calculatedColumnFormula>
    </tableColumn>
    <tableColumn id="3" name="Spalte3" dataDxfId="264">
      <calculatedColumnFormula>(Prüfkriterien_344[[#This Row],[Spalte2]]+30)/10</calculatedColumnFormula>
    </tableColumn>
    <tableColumn id="4" name="Spalte4" dataDxfId="263"/>
    <tableColumn id="5" name="Spalte5" dataDxfId="262"/>
    <tableColumn id="6" name="Spalte6" dataDxfId="261"/>
    <tableColumn id="7" name="Spalte7" dataDxfId="260"/>
    <tableColumn id="8" name="Spalte8" dataDxfId="259"/>
    <tableColumn id="9" name="Spalte9" dataDxfId="258"/>
    <tableColumn id="10" name="Spalte10" dataDxfId="257"/>
    <tableColumn id="11" name="Spalte11" dataDxfId="256"/>
    <tableColumn id="12" name="Spalte12" dataDxfId="255"/>
  </tableColumns>
  <tableStyleInfo name="TSL_1" showFirstColumn="0" showLastColumn="0" showRowStripes="1" showColumnStripes="0"/>
</table>
</file>

<file path=xl/tables/table24.xml><?xml version="1.0" encoding="utf-8"?>
<table xmlns="http://schemas.openxmlformats.org/spreadsheetml/2006/main" id="44" name="Prüfkriterien_445" displayName="Prüfkriterien_445" ref="B45:M78" totalsRowShown="0" headerRowDxfId="254" dataDxfId="253" tableBorderDxfId="252">
  <autoFilter ref="B45:M78"/>
  <tableColumns count="12">
    <tableColumn id="1" name="Spalte1" dataDxfId="251">
      <calculatedColumnFormula>CONCATENATE("4.",Prüfkriterien_445[[#This Row],[Spalte2]])</calculatedColumnFormula>
    </tableColumn>
    <tableColumn id="2" name="Spalte2" dataDxfId="250">
      <calculatedColumnFormula>ROW()-ROW(Prüfkriterien_445[[#Headers],[Spalte3]])</calculatedColumnFormula>
    </tableColumn>
    <tableColumn id="3" name="Spalte3" dataDxfId="249">
      <calculatedColumnFormula>(Prüfkriterien_445[Spalte2]+40)/10</calculatedColumnFormula>
    </tableColumn>
    <tableColumn id="4" name="Spalte4" dataDxfId="248"/>
    <tableColumn id="5" name="Spalte5" dataDxfId="247"/>
    <tableColumn id="6" name="Spalte6" dataDxfId="246"/>
    <tableColumn id="7" name="Spalte7" dataDxfId="245"/>
    <tableColumn id="8" name="Spalte8" dataDxfId="244"/>
    <tableColumn id="9" name="Spalte9" dataDxfId="243"/>
    <tableColumn id="10" name="Spalte10" dataDxfId="242"/>
    <tableColumn id="11" name="Spalte11" dataDxfId="241"/>
    <tableColumn id="12" name="Spalte12" dataDxfId="240"/>
  </tableColumns>
  <tableStyleInfo name="TSL_1" showFirstColumn="0" showLastColumn="0" showRowStripes="1" showColumnStripes="0"/>
</table>
</file>

<file path=xl/tables/table25.xml><?xml version="1.0" encoding="utf-8"?>
<table xmlns="http://schemas.openxmlformats.org/spreadsheetml/2006/main" id="45" name="Prüfkriterien_546" displayName="Prüfkriterien_546" ref="B80:M113" totalsRowShown="0" headerRowDxfId="239" dataDxfId="238" tableBorderDxfId="237">
  <autoFilter ref="B80:M113"/>
  <tableColumns count="12">
    <tableColumn id="1" name="Spalte1" dataDxfId="236">
      <calculatedColumnFormula>CONCATENATE("5.",Prüfkriterien_546[[#This Row],[Spalte2]])</calculatedColumnFormula>
    </tableColumn>
    <tableColumn id="2" name="Spalte2" dataDxfId="235">
      <calculatedColumnFormula>ROW()-ROW(Prüfkriterien_546[[#Headers],[Spalte3]])</calculatedColumnFormula>
    </tableColumn>
    <tableColumn id="3" name="Spalte3" dataDxfId="234">
      <calculatedColumnFormula>(Prüfkriterien_546[Spalte2]+50)/10</calculatedColumnFormula>
    </tableColumn>
    <tableColumn id="4" name="Spalte4" dataDxfId="233"/>
    <tableColumn id="5" name="Spalte5" dataDxfId="232"/>
    <tableColumn id="6" name="Spalte6" dataDxfId="231"/>
    <tableColumn id="7" name="Spalte7" dataDxfId="230"/>
    <tableColumn id="8" name="Spalte8" dataDxfId="229"/>
    <tableColumn id="9" name="Spalte9" dataDxfId="228"/>
    <tableColumn id="10" name="Spalte10" dataDxfId="227"/>
    <tableColumn id="11" name="Spalte11" dataDxfId="226"/>
    <tableColumn id="12" name="Spalte12" dataDxfId="225"/>
  </tableColumns>
  <tableStyleInfo name="TSL_1" showFirstColumn="0" showLastColumn="0" showRowStripes="1" showColumnStripes="0"/>
</table>
</file>

<file path=xl/tables/table26.xml><?xml version="1.0" encoding="utf-8"?>
<table xmlns="http://schemas.openxmlformats.org/spreadsheetml/2006/main" id="46" name="Prüfkriterien_647" displayName="Prüfkriterien_647" ref="B115:M120" totalsRowShown="0" headerRowDxfId="224" dataDxfId="223" tableBorderDxfId="222">
  <autoFilter ref="B115:M120"/>
  <tableColumns count="12">
    <tableColumn id="1" name="Spalte1" dataDxfId="221">
      <calculatedColumnFormula>CONCATENATE("6.",Prüfkriterien_647[[#This Row],[Spalte2]])</calculatedColumnFormula>
    </tableColumn>
    <tableColumn id="2" name="Spalte2" dataDxfId="220">
      <calculatedColumnFormula>ROW()-ROW(Prüfkriterien_647[[#Headers],[Spalte3]])</calculatedColumnFormula>
    </tableColumn>
    <tableColumn id="3" name="Spalte3" dataDxfId="219">
      <calculatedColumnFormula>(Prüfkriterien_647[Spalte2]+60)/10</calculatedColumnFormula>
    </tableColumn>
    <tableColumn id="4" name="Spalte4" dataDxfId="218"/>
    <tableColumn id="5" name="Spalte5" dataDxfId="217"/>
    <tableColumn id="6" name="Spalte6" dataDxfId="216"/>
    <tableColumn id="7" name="Spalte7" dataDxfId="215"/>
    <tableColumn id="8" name="Spalte8" dataDxfId="214"/>
    <tableColumn id="9" name="Spalte9" dataDxfId="213"/>
    <tableColumn id="10" name="Spalte10" dataDxfId="212"/>
    <tableColumn id="11" name="Spalte11" dataDxfId="211"/>
    <tableColumn id="12" name="Spalte12" dataDxfId="210"/>
  </tableColumns>
  <tableStyleInfo name="TSL_1" showFirstColumn="0" showLastColumn="0" showRowStripes="1" showColumnStripes="0"/>
</table>
</file>

<file path=xl/tables/table27.xml><?xml version="1.0" encoding="utf-8"?>
<table xmlns="http://schemas.openxmlformats.org/spreadsheetml/2006/main" id="47" name="Prüfkriterien_748" displayName="Prüfkriterien_748" ref="B122:M127" totalsRowShown="0" headerRowDxfId="209" dataDxfId="208" tableBorderDxfId="207">
  <autoFilter ref="B122:M127"/>
  <tableColumns count="12">
    <tableColumn id="1" name="Spalte1" dataDxfId="206">
      <calculatedColumnFormula>CONCATENATE("7.",Prüfkriterien_748[[#This Row],[Spalte2]])</calculatedColumnFormula>
    </tableColumn>
    <tableColumn id="2" name="Spalte2" dataDxfId="205">
      <calculatedColumnFormula>ROW()-ROW(Prüfkriterien_748[[#Headers],[Spalte3]])</calculatedColumnFormula>
    </tableColumn>
    <tableColumn id="3" name="Spalte3" dataDxfId="204">
      <calculatedColumnFormula>(Prüfkriterien_748[Spalte2]+70)/10</calculatedColumnFormula>
    </tableColumn>
    <tableColumn id="4" name="Spalte4" dataDxfId="203"/>
    <tableColumn id="5" name="Spalte5" dataDxfId="202"/>
    <tableColumn id="6" name="Spalte6" dataDxfId="201"/>
    <tableColumn id="7" name="Spalte7" dataDxfId="200"/>
    <tableColumn id="8" name="Spalte8" dataDxfId="199"/>
    <tableColumn id="9" name="Spalte9" dataDxfId="198"/>
    <tableColumn id="10" name="Spalte10" dataDxfId="197"/>
    <tableColumn id="11" name="Spalte11" dataDxfId="196"/>
    <tableColumn id="12" name="Spalte12" dataDxfId="195"/>
  </tableColumns>
  <tableStyleInfo name="TSL_1" showFirstColumn="0" showLastColumn="0" showRowStripes="1" showColumnStripes="0"/>
</table>
</file>

<file path=xl/tables/table28.xml><?xml version="1.0" encoding="utf-8"?>
<table xmlns="http://schemas.openxmlformats.org/spreadsheetml/2006/main" id="48" name="Prüfkriterien_849" displayName="Prüfkriterien_849" ref="B129:M134" totalsRowShown="0" headerRowDxfId="194" dataDxfId="193" tableBorderDxfId="192">
  <autoFilter ref="B129:M134"/>
  <tableColumns count="12">
    <tableColumn id="1" name="Spalte1" dataDxfId="191">
      <calculatedColumnFormula>CONCATENATE("8.",Prüfkriterien_849[[#This Row],[Spalte2]])</calculatedColumnFormula>
    </tableColumn>
    <tableColumn id="2" name="Spalte2" dataDxfId="190">
      <calculatedColumnFormula>ROW()-ROW(Prüfkriterien_849[[#Headers],[Spalte3]])</calculatedColumnFormula>
    </tableColumn>
    <tableColumn id="3" name="Spalte3" dataDxfId="189">
      <calculatedColumnFormula>(Prüfkriterien_849[Spalte2]+80)/10</calculatedColumnFormula>
    </tableColumn>
    <tableColumn id="4" name="Spalte4" dataDxfId="188"/>
    <tableColumn id="5" name="Spalte5" dataDxfId="187"/>
    <tableColumn id="6" name="Spalte6" dataDxfId="186"/>
    <tableColumn id="7" name="Spalte7" dataDxfId="185"/>
    <tableColumn id="8" name="Spalte8" dataDxfId="184"/>
    <tableColumn id="9" name="Spalte9" dataDxfId="183"/>
    <tableColumn id="10" name="Spalte10" dataDxfId="182"/>
    <tableColumn id="11" name="Spalte11" dataDxfId="181"/>
    <tableColumn id="12" name="Spalte12" dataDxfId="180"/>
  </tableColumns>
  <tableStyleInfo name="TSL_1" showFirstColumn="0" showLastColumn="0" showRowStripes="1" showColumnStripes="0"/>
</table>
</file>

<file path=xl/tables/table29.xml><?xml version="1.0" encoding="utf-8"?>
<table xmlns="http://schemas.openxmlformats.org/spreadsheetml/2006/main" id="49" name="Prüfkriterien_950" displayName="Prüfkriterien_950" ref="B136:M141" totalsRowShown="0" headerRowDxfId="179" dataDxfId="178" tableBorderDxfId="177">
  <autoFilter ref="B136:M141"/>
  <tableColumns count="12">
    <tableColumn id="1" name="Spalte1" dataDxfId="176">
      <calculatedColumnFormula>CONCATENATE("9.",Prüfkriterien_950[[#This Row],[Spalte2]])</calculatedColumnFormula>
    </tableColumn>
    <tableColumn id="2" name="Spalte2" dataDxfId="175">
      <calculatedColumnFormula>ROW()-ROW(Prüfkriterien_950[[#Headers],[Spalte3]])</calculatedColumnFormula>
    </tableColumn>
    <tableColumn id="3" name="Spalte3" dataDxfId="174">
      <calculatedColumnFormula>(Prüfkriterien_950[Spalte2]+90)/10</calculatedColumnFormula>
    </tableColumn>
    <tableColumn id="4" name="Spalte4" dataDxfId="173"/>
    <tableColumn id="5" name="Spalte5" dataDxfId="172"/>
    <tableColumn id="6" name="Spalte6" dataDxfId="171"/>
    <tableColumn id="7" name="Spalte7" dataDxfId="170"/>
    <tableColumn id="8" name="Spalte8" dataDxfId="169"/>
    <tableColumn id="9" name="Spalte9" dataDxfId="168"/>
    <tableColumn id="10" name="Spalte10" dataDxfId="167"/>
    <tableColumn id="11" name="Spalte11" dataDxfId="166"/>
    <tableColumn id="12" name="Spalte12" dataDxfId="165"/>
  </tableColumns>
  <tableStyleInfo name="TSL_1" showFirstColumn="0" showLastColumn="0" showRowStripes="1" showColumnStripes="0"/>
</table>
</file>

<file path=xl/tables/table3.xml><?xml version="1.0" encoding="utf-8"?>
<table xmlns="http://schemas.openxmlformats.org/spreadsheetml/2006/main" id="4" name="Prüfkriterien_3" displayName="Prüfkriterien_3" ref="B46:M61" totalsRowShown="0" headerRowDxfId="605" dataDxfId="604" tableBorderDxfId="603">
  <autoFilter ref="B46:M61"/>
  <tableColumns count="12">
    <tableColumn id="1" name="Spalte1" dataDxfId="602">
      <calculatedColumnFormula>CONCATENATE("3.",Prüfkriterien_3[[#This Row],[Spalte2]])</calculatedColumnFormula>
    </tableColumn>
    <tableColumn id="2" name="Spalte2" dataDxfId="601">
      <calculatedColumnFormula>ROW()-ROW(Prüfkriterien_3[[#Headers],[Spalte3]])</calculatedColumnFormula>
    </tableColumn>
    <tableColumn id="3" name="Spalte3" dataDxfId="600">
      <calculatedColumnFormula>(Prüfkriterien_3[[#This Row],[Spalte2]]+30)/10</calculatedColumnFormula>
    </tableColumn>
    <tableColumn id="4" name="Spalte4" dataDxfId="599"/>
    <tableColumn id="5" name="Spalte5" dataDxfId="598"/>
    <tableColumn id="6" name="Spalte6" dataDxfId="597"/>
    <tableColumn id="7" name="Spalte7" dataDxfId="596"/>
    <tableColumn id="8" name="Spalte8" dataDxfId="595"/>
    <tableColumn id="9" name="Spalte9" dataDxfId="594"/>
    <tableColumn id="10" name="Spalte10" dataDxfId="593"/>
    <tableColumn id="11" name="Spalte11" dataDxfId="592"/>
    <tableColumn id="12" name="Spalte12" dataDxfId="591"/>
  </tableColumns>
  <tableStyleInfo name="TSL_1" showFirstColumn="0" showLastColumn="0" showRowStripes="1" showColumnStripes="0"/>
</table>
</file>

<file path=xl/tables/table30.xml><?xml version="1.0" encoding="utf-8"?>
<table xmlns="http://schemas.openxmlformats.org/spreadsheetml/2006/main" id="50" name="Prüfkriterien_1051" displayName="Prüfkriterien_1051" ref="B143:M148" totalsRowShown="0" headerRowDxfId="164" dataDxfId="163" tableBorderDxfId="162">
  <autoFilter ref="B143:M148"/>
  <tableColumns count="12">
    <tableColumn id="1" name="Spalte1" dataDxfId="161">
      <calculatedColumnFormula>CONCATENATE("10.",Prüfkriterien_1051[[#This Row],[Spalte2]])</calculatedColumnFormula>
    </tableColumn>
    <tableColumn id="2" name="Spalte2" dataDxfId="160">
      <calculatedColumnFormula>ROW()-ROW(Prüfkriterien_1051[[#Headers],[Spalte3]])</calculatedColumnFormula>
    </tableColumn>
    <tableColumn id="3" name="Spalte3" dataDxfId="159">
      <calculatedColumnFormula>(Prüfkriterien_1051[Spalte2]+100)/10</calculatedColumnFormula>
    </tableColumn>
    <tableColumn id="4" name="Spalte4" dataDxfId="158"/>
    <tableColumn id="5" name="Spalte5" dataDxfId="157"/>
    <tableColumn id="6" name="Spalte6" dataDxfId="156"/>
    <tableColumn id="7" name="Spalte7" dataDxfId="155"/>
    <tableColumn id="8" name="Spalte8" dataDxfId="154"/>
    <tableColumn id="9" name="Spalte9" dataDxfId="153"/>
    <tableColumn id="10" name="Spalte10" dataDxfId="152"/>
    <tableColumn id="11" name="Spalte11" dataDxfId="151"/>
    <tableColumn id="12" name="Spalte12" dataDxfId="150"/>
  </tableColumns>
  <tableStyleInfo name="TSL_1" showFirstColumn="0" showLastColumn="0" showRowStripes="1" showColumnStripes="0"/>
</table>
</file>

<file path=xl/tables/table31.xml><?xml version="1.0" encoding="utf-8"?>
<table xmlns="http://schemas.openxmlformats.org/spreadsheetml/2006/main" id="51" name="Prüfkriterien_1152" displayName="Prüfkriterien_1152" ref="B150:M155" totalsRowShown="0" headerRowDxfId="149" dataDxfId="148" tableBorderDxfId="147">
  <autoFilter ref="B150:M155"/>
  <tableColumns count="12">
    <tableColumn id="1" name="Spalte1" dataDxfId="146">
      <calculatedColumnFormula>CONCATENATE("11.",Prüfkriterien_1152[[#This Row],[Spalte2]])</calculatedColumnFormula>
    </tableColumn>
    <tableColumn id="2" name="Spalte2" dataDxfId="145">
      <calculatedColumnFormula>ROW()-ROW(Prüfkriterien_1152[[#Headers],[Spalte3]])</calculatedColumnFormula>
    </tableColumn>
    <tableColumn id="3" name="Spalte3" dataDxfId="144">
      <calculatedColumnFormula>(Prüfkriterien_1152[Spalte2]+110)/10</calculatedColumnFormula>
    </tableColumn>
    <tableColumn id="4" name="Spalte4" dataDxfId="143"/>
    <tableColumn id="5" name="Spalte5" dataDxfId="142"/>
    <tableColumn id="6" name="Spalte6" dataDxfId="141"/>
    <tableColumn id="7" name="Spalte7" dataDxfId="140"/>
    <tableColumn id="8" name="Spalte8" dataDxfId="139"/>
    <tableColumn id="9" name="Spalte9" dataDxfId="138"/>
    <tableColumn id="10" name="Spalte10" dataDxfId="137"/>
    <tableColumn id="11" name="Spalte11" dataDxfId="136"/>
    <tableColumn id="12" name="Spalte12" dataDxfId="135"/>
  </tableColumns>
  <tableStyleInfo name="TSL_1" showFirstColumn="0" showLastColumn="0" showRowStripes="1" showColumnStripes="0"/>
</table>
</file>

<file path=xl/tables/table32.xml><?xml version="1.0" encoding="utf-8"?>
<table xmlns="http://schemas.openxmlformats.org/spreadsheetml/2006/main" id="52" name="Prüfkriterien_111353" displayName="Prüfkriterien_111353" ref="B157:M162" totalsRowShown="0" headerRowDxfId="134" dataDxfId="133" tableBorderDxfId="132">
  <autoFilter ref="B157:M162"/>
  <tableColumns count="12">
    <tableColumn id="1" name="Spalte1" dataDxfId="131">
      <calculatedColumnFormula>CONCATENATE("12.",Prüfkriterien_111353[[#This Row],[Spalte2]])</calculatedColumnFormula>
    </tableColumn>
    <tableColumn id="2" name="Spalte2" dataDxfId="130">
      <calculatedColumnFormula>ROW()-ROW(Prüfkriterien_111353[[#Headers],[Spalte3]])</calculatedColumnFormula>
    </tableColumn>
    <tableColumn id="3" name="Spalte3" dataDxfId="129">
      <calculatedColumnFormula>(Prüfkriterien_111353[Spalte2]+120)/10</calculatedColumnFormula>
    </tableColumn>
    <tableColumn id="4" name="Spalte4" dataDxfId="128"/>
    <tableColumn id="5" name="Spalte5" dataDxfId="127"/>
    <tableColumn id="6" name="Spalte6" dataDxfId="126"/>
    <tableColumn id="7" name="Spalte7" dataDxfId="125"/>
    <tableColumn id="8" name="Spalte8" dataDxfId="124"/>
    <tableColumn id="9" name="Spalte9" dataDxfId="123"/>
    <tableColumn id="10" name="Spalte10" dataDxfId="122"/>
    <tableColumn id="11" name="Spalte11" dataDxfId="121"/>
    <tableColumn id="12" name="Spalte12" dataDxfId="120"/>
  </tableColumns>
  <tableStyleInfo name="TSL_1" showFirstColumn="0" showLastColumn="0" showRowStripes="1" showColumnStripes="0"/>
</table>
</file>

<file path=xl/tables/table33.xml><?xml version="1.0" encoding="utf-8"?>
<table xmlns="http://schemas.openxmlformats.org/spreadsheetml/2006/main" id="53" name="Prüfkriterien_111454" displayName="Prüfkriterien_111454" ref="B164:M169" totalsRowShown="0" headerRowDxfId="119" dataDxfId="118" tableBorderDxfId="117">
  <autoFilter ref="B164:M169"/>
  <tableColumns count="12">
    <tableColumn id="1" name="Spalte1" dataDxfId="116">
      <calculatedColumnFormula>CONCATENATE("13.",Prüfkriterien_111454[[#This Row],[Spalte2]])</calculatedColumnFormula>
    </tableColumn>
    <tableColumn id="2" name="Spalte2" dataDxfId="115">
      <calculatedColumnFormula>ROW()-ROW(Prüfkriterien_111454[[#Headers],[Spalte3]])</calculatedColumnFormula>
    </tableColumn>
    <tableColumn id="3" name="Spalte3" dataDxfId="114">
      <calculatedColumnFormula>(Prüfkriterien_111454[Spalte2]+130)/10</calculatedColumnFormula>
    </tableColumn>
    <tableColumn id="4" name="Spalte4" dataDxfId="113"/>
    <tableColumn id="5" name="Spalte5" dataDxfId="112"/>
    <tableColumn id="6" name="Spalte6" dataDxfId="111"/>
    <tableColumn id="7" name="Spalte7" dataDxfId="110"/>
    <tableColumn id="8" name="Spalte8" dataDxfId="109"/>
    <tableColumn id="9" name="Spalte9" dataDxfId="108"/>
    <tableColumn id="10" name="Spalte10" dataDxfId="107"/>
    <tableColumn id="11" name="Spalte11" dataDxfId="106"/>
    <tableColumn id="12" name="Spalte12" dataDxfId="105"/>
  </tableColumns>
  <tableStyleInfo name="TSL_1" showFirstColumn="0" showLastColumn="0" showRowStripes="1" showColumnStripes="0"/>
</table>
</file>

<file path=xl/tables/table34.xml><?xml version="1.0" encoding="utf-8"?>
<table xmlns="http://schemas.openxmlformats.org/spreadsheetml/2006/main" id="54" name="Prüfkriterien_111555" displayName="Prüfkriterien_111555" ref="B171:M176" totalsRowShown="0" headerRowDxfId="104" dataDxfId="103" tableBorderDxfId="102">
  <autoFilter ref="B171:M176"/>
  <tableColumns count="12">
    <tableColumn id="1" name="Spalte1" dataDxfId="101">
      <calculatedColumnFormula>CONCATENATE("14.",Prüfkriterien_111555[[#This Row],[Spalte2]])</calculatedColumnFormula>
    </tableColumn>
    <tableColumn id="2" name="Spalte2" dataDxfId="100">
      <calculatedColumnFormula>ROW()-ROW(Prüfkriterien_111555[[#Headers],[Spalte3]])</calculatedColumnFormula>
    </tableColumn>
    <tableColumn id="3" name="Spalte3" dataDxfId="99">
      <calculatedColumnFormula>(Prüfkriterien_111555[Spalte2]+140)/10</calculatedColumnFormula>
    </tableColumn>
    <tableColumn id="4" name="Spalte4" dataDxfId="98"/>
    <tableColumn id="5" name="Spalte5" dataDxfId="97"/>
    <tableColumn id="6" name="Spalte6" dataDxfId="96"/>
    <tableColumn id="7" name="Spalte7" dataDxfId="95"/>
    <tableColumn id="8" name="Spalte8" dataDxfId="94"/>
    <tableColumn id="9" name="Spalte9" dataDxfId="93"/>
    <tableColumn id="10" name="Spalte10" dataDxfId="92"/>
    <tableColumn id="11" name="Spalte11" dataDxfId="91"/>
    <tableColumn id="12" name="Spalte12" dataDxfId="90"/>
  </tableColumns>
  <tableStyleInfo name="TSL_1" showFirstColumn="0" showLastColumn="0" showRowStripes="1" showColumnStripes="0"/>
</table>
</file>

<file path=xl/tables/table35.xml><?xml version="1.0" encoding="utf-8"?>
<table xmlns="http://schemas.openxmlformats.org/spreadsheetml/2006/main" id="55" name="Prüfkriterien_111656" displayName="Prüfkriterien_111656" ref="B178:M183" totalsRowShown="0" headerRowDxfId="89" dataDxfId="88" tableBorderDxfId="87">
  <autoFilter ref="B178:M183"/>
  <tableColumns count="12">
    <tableColumn id="1" name="Spalte1" dataDxfId="86">
      <calculatedColumnFormula>CONCATENATE("15.",Prüfkriterien_111656[[#This Row],[Spalte2]])</calculatedColumnFormula>
    </tableColumn>
    <tableColumn id="2" name="Spalte2" dataDxfId="85">
      <calculatedColumnFormula>ROW()-ROW(Prüfkriterien_111656[[#Headers],[Spalte3]])</calculatedColumnFormula>
    </tableColumn>
    <tableColumn id="3" name="Spalte3" dataDxfId="84">
      <calculatedColumnFormula>(Prüfkriterien_111656[Spalte2]+150)/10</calculatedColumnFormula>
    </tableColumn>
    <tableColumn id="4" name="Spalte4" dataDxfId="83"/>
    <tableColumn id="5" name="Spalte5" dataDxfId="82"/>
    <tableColumn id="6" name="Spalte6" dataDxfId="81"/>
    <tableColumn id="7" name="Spalte7" dataDxfId="80"/>
    <tableColumn id="8" name="Spalte8" dataDxfId="79"/>
    <tableColumn id="9" name="Spalte9" dataDxfId="78"/>
    <tableColumn id="10" name="Spalte10" dataDxfId="77"/>
    <tableColumn id="11" name="Spalte11" dataDxfId="76"/>
    <tableColumn id="12" name="Spalte12" dataDxfId="75"/>
  </tableColumns>
  <tableStyleInfo name="TSL_1" showFirstColumn="0" showLastColumn="0" showRowStripes="1" showColumnStripes="0"/>
</table>
</file>

<file path=xl/tables/table36.xml><?xml version="1.0" encoding="utf-8"?>
<table xmlns="http://schemas.openxmlformats.org/spreadsheetml/2006/main" id="56" name="Prüfkriterien_111757" displayName="Prüfkriterien_111757" ref="B185:M190" totalsRowShown="0" headerRowDxfId="74" dataDxfId="73" tableBorderDxfId="72">
  <autoFilter ref="B185:M190"/>
  <tableColumns count="12">
    <tableColumn id="1" name="Spalte1" dataDxfId="71">
      <calculatedColumnFormula>CONCATENATE("16.",Prüfkriterien_111757[[#This Row],[Spalte2]])</calculatedColumnFormula>
    </tableColumn>
    <tableColumn id="2" name="Spalte2" dataDxfId="70">
      <calculatedColumnFormula>ROW()-ROW(Prüfkriterien_111757[[#Headers],[Spalte3]])</calculatedColumnFormula>
    </tableColumn>
    <tableColumn id="3" name="Spalte3" dataDxfId="69">
      <calculatedColumnFormula>(Prüfkriterien_111757[Spalte2]+160)/10</calculatedColumnFormula>
    </tableColumn>
    <tableColumn id="4" name="Spalte4" dataDxfId="68"/>
    <tableColumn id="5" name="Spalte5" dataDxfId="67"/>
    <tableColumn id="6" name="Spalte6" dataDxfId="66"/>
    <tableColumn id="7" name="Spalte7" dataDxfId="65"/>
    <tableColumn id="8" name="Spalte8" dataDxfId="64"/>
    <tableColumn id="9" name="Spalte9" dataDxfId="63"/>
    <tableColumn id="10" name="Spalte10" dataDxfId="62"/>
    <tableColumn id="11" name="Spalte11" dataDxfId="61"/>
    <tableColumn id="12" name="Spalte12" dataDxfId="60"/>
  </tableColumns>
  <tableStyleInfo name="TSL_1" showFirstColumn="0" showLastColumn="0" showRowStripes="1" showColumnStripes="0"/>
</table>
</file>

<file path=xl/tables/table37.xml><?xml version="1.0" encoding="utf-8"?>
<table xmlns="http://schemas.openxmlformats.org/spreadsheetml/2006/main" id="57" name="Prüfkriterien_111858" displayName="Prüfkriterien_111858" ref="B192:M197" totalsRowShown="0" headerRowDxfId="59" dataDxfId="58" tableBorderDxfId="57">
  <autoFilter ref="B192:M197"/>
  <tableColumns count="12">
    <tableColumn id="1" name="Spalte1" dataDxfId="56">
      <calculatedColumnFormula>CONCATENATE("17.",Prüfkriterien_111858[[#This Row],[Spalte2]])</calculatedColumnFormula>
    </tableColumn>
    <tableColumn id="2" name="Spalte2" dataDxfId="55">
      <calculatedColumnFormula>ROW()-ROW(Prüfkriterien_111858[[#Headers],[Spalte3]])</calculatedColumnFormula>
    </tableColumn>
    <tableColumn id="3" name="Spalte3" dataDxfId="54">
      <calculatedColumnFormula>(Prüfkriterien_111858[Spalte2]+170)/10</calculatedColumnFormula>
    </tableColumn>
    <tableColumn id="4" name="Spalte4" dataDxfId="53"/>
    <tableColumn id="5" name="Spalte5" dataDxfId="52"/>
    <tableColumn id="6" name="Spalte6" dataDxfId="51"/>
    <tableColumn id="7" name="Spalte7" dataDxfId="50"/>
    <tableColumn id="8" name="Spalte8" dataDxfId="49"/>
    <tableColumn id="9" name="Spalte9" dataDxfId="48"/>
    <tableColumn id="10" name="Spalte10" dataDxfId="47"/>
    <tableColumn id="11" name="Spalte11" dataDxfId="46"/>
    <tableColumn id="12" name="Spalte12" dataDxfId="45"/>
  </tableColumns>
  <tableStyleInfo name="TSL_1" showFirstColumn="0" showLastColumn="0" showRowStripes="1" showColumnStripes="0"/>
</table>
</file>

<file path=xl/tables/table38.xml><?xml version="1.0" encoding="utf-8"?>
<table xmlns="http://schemas.openxmlformats.org/spreadsheetml/2006/main" id="58" name="Prüfkriterien_111959" displayName="Prüfkriterien_111959" ref="B199:M204" totalsRowShown="0" headerRowDxfId="44" dataDxfId="43" tableBorderDxfId="42">
  <autoFilter ref="B199:M204"/>
  <tableColumns count="12">
    <tableColumn id="1" name="Spalte1" dataDxfId="41">
      <calculatedColumnFormula>CONCATENATE("18.",Prüfkriterien_111959[[#This Row],[Spalte2]])</calculatedColumnFormula>
    </tableColumn>
    <tableColumn id="2" name="Spalte2" dataDxfId="40">
      <calculatedColumnFormula>ROW()-ROW(Prüfkriterien_111959[[#Headers],[Spalte3]])</calculatedColumnFormula>
    </tableColumn>
    <tableColumn id="3" name="Spalte3" dataDxfId="39">
      <calculatedColumnFormula>(Prüfkriterien_111959[Spalte2]+180)/10</calculatedColumnFormula>
    </tableColumn>
    <tableColumn id="4" name="Spalte4" dataDxfId="38"/>
    <tableColumn id="5" name="Spalte5" dataDxfId="37"/>
    <tableColumn id="6" name="Spalte6" dataDxfId="36"/>
    <tableColumn id="7" name="Spalte7" dataDxfId="35"/>
    <tableColumn id="8" name="Spalte8" dataDxfId="34"/>
    <tableColumn id="9" name="Spalte9" dataDxfId="33"/>
    <tableColumn id="10" name="Spalte10" dataDxfId="32"/>
    <tableColumn id="11" name="Spalte11" dataDxfId="31"/>
    <tableColumn id="12" name="Spalte12" dataDxfId="30"/>
  </tableColumns>
  <tableStyleInfo name="TSL_1" showFirstColumn="0" showLastColumn="0" showRowStripes="1" showColumnStripes="0"/>
</table>
</file>

<file path=xl/tables/table39.xml><?xml version="1.0" encoding="utf-8"?>
<table xmlns="http://schemas.openxmlformats.org/spreadsheetml/2006/main" id="59" name="Prüfkriterien_112060" displayName="Prüfkriterien_112060" ref="B206:M211" totalsRowShown="0" headerRowDxfId="29" dataDxfId="28" tableBorderDxfId="27">
  <autoFilter ref="B206:M211"/>
  <tableColumns count="12">
    <tableColumn id="1" name="Spalte1" dataDxfId="26">
      <calculatedColumnFormula>CONCATENATE("19.",Prüfkriterien_112060[[#This Row],[Spalte2]])</calculatedColumnFormula>
    </tableColumn>
    <tableColumn id="2" name="Spalte2" dataDxfId="25">
      <calculatedColumnFormula>ROW()-ROW(Prüfkriterien_112060[[#Headers],[Spalte3]])</calculatedColumnFormula>
    </tableColumn>
    <tableColumn id="3" name="Spalte3" dataDxfId="24">
      <calculatedColumnFormula>(Prüfkriterien_112060[Spalte2]+190)/10</calculatedColumnFormula>
    </tableColumn>
    <tableColumn id="4" name="Spalte4" dataDxfId="23"/>
    <tableColumn id="5" name="Spalte5" dataDxfId="22"/>
    <tableColumn id="6" name="Spalte6" dataDxfId="21"/>
    <tableColumn id="7" name="Spalte7" dataDxfId="20"/>
    <tableColumn id="8" name="Spalte8" dataDxfId="19"/>
    <tableColumn id="9" name="Spalte9" dataDxfId="18"/>
    <tableColumn id="10" name="Spalte10" dataDxfId="17"/>
    <tableColumn id="11" name="Spalte11" dataDxfId="16"/>
    <tableColumn id="12" name="Spalte12" dataDxfId="15"/>
  </tableColumns>
  <tableStyleInfo name="TSL_1" showFirstColumn="0" showLastColumn="0" showRowStripes="1" showColumnStripes="0"/>
</table>
</file>

<file path=xl/tables/table4.xml><?xml version="1.0" encoding="utf-8"?>
<table xmlns="http://schemas.openxmlformats.org/spreadsheetml/2006/main" id="5" name="Prüfkriterien_4" displayName="Prüfkriterien_4" ref="B63:M68" totalsRowShown="0" headerRowDxfId="590" dataDxfId="589" tableBorderDxfId="588">
  <autoFilter ref="B63:M68"/>
  <tableColumns count="12">
    <tableColumn id="1" name="Spalte1" dataDxfId="587">
      <calculatedColumnFormula>CONCATENATE("4.",Prüfkriterien_4[[#This Row],[Spalte2]])</calculatedColumnFormula>
    </tableColumn>
    <tableColumn id="2" name="Spalte2" dataDxfId="586">
      <calculatedColumnFormula>ROW()-ROW(Prüfkriterien_4[[#Headers],[Spalte3]])</calculatedColumnFormula>
    </tableColumn>
    <tableColumn id="3" name="Spalte3" dataDxfId="585">
      <calculatedColumnFormula>(Prüfkriterien_4[Spalte2]+40)/10</calculatedColumnFormula>
    </tableColumn>
    <tableColumn id="4" name="Spalte4" dataDxfId="584"/>
    <tableColumn id="5" name="Spalte5" dataDxfId="583"/>
    <tableColumn id="6" name="Spalte6" dataDxfId="582"/>
    <tableColumn id="7" name="Spalte7" dataDxfId="581"/>
    <tableColumn id="8" name="Spalte8" dataDxfId="580"/>
    <tableColumn id="9" name="Spalte9" dataDxfId="579"/>
    <tableColumn id="10" name="Spalte10" dataDxfId="578"/>
    <tableColumn id="11" name="Spalte11" dataDxfId="577"/>
    <tableColumn id="12" name="Spalte12" dataDxfId="576"/>
  </tableColumns>
  <tableStyleInfo name="TSL_1" showFirstColumn="0" showLastColumn="0" showRowStripes="1" showColumnStripes="0"/>
</table>
</file>

<file path=xl/tables/table40.xml><?xml version="1.0" encoding="utf-8"?>
<table xmlns="http://schemas.openxmlformats.org/spreadsheetml/2006/main" id="60" name="Prüfkriterien_112161" displayName="Prüfkriterien_112161" ref="B213:M218" totalsRowShown="0" headerRowDxfId="14" dataDxfId="13" tableBorderDxfId="12">
  <autoFilter ref="B213:M218"/>
  <tableColumns count="12">
    <tableColumn id="1" name="Spalte1" dataDxfId="11">
      <calculatedColumnFormula>CONCATENATE("20.",Prüfkriterien_112161[[#This Row],[Spalte2]])</calculatedColumnFormula>
    </tableColumn>
    <tableColumn id="2" name="Spalte2" dataDxfId="10">
      <calculatedColumnFormula>ROW()-ROW(Prüfkriterien_112161[[#Headers],[Spalte3]])</calculatedColumnFormula>
    </tableColumn>
    <tableColumn id="3" name="Spalte3" dataDxfId="9">
      <calculatedColumnFormula>(Prüfkriterien_112161[Spalte2]+200)/10</calculatedColumnFormula>
    </tableColumn>
    <tableColumn id="4" name="Spalte4" dataDxfId="8"/>
    <tableColumn id="5" name="Spalte5" dataDxfId="7"/>
    <tableColumn id="6" name="Spalte6" dataDxfId="6"/>
    <tableColumn id="7" name="Spalte7" dataDxfId="5"/>
    <tableColumn id="8" name="Spalte8" dataDxfId="4"/>
    <tableColumn id="9" name="Spalte9" dataDxfId="3"/>
    <tableColumn id="10" name="Spalte10" dataDxfId="2"/>
    <tableColumn id="11" name="Spalte11" dataDxfId="1"/>
    <tableColumn id="12" name="Spalte12" dataDxfId="0"/>
  </tableColumns>
  <tableStyleInfo name="TSL_1" showFirstColumn="0" showLastColumn="0" showRowStripes="1" showColumnStripes="0"/>
</table>
</file>

<file path=xl/tables/table5.xml><?xml version="1.0" encoding="utf-8"?>
<table xmlns="http://schemas.openxmlformats.org/spreadsheetml/2006/main" id="6" name="Prüfkriterien_5" displayName="Prüfkriterien_5" ref="B70:M75" totalsRowShown="0" headerRowDxfId="575" dataDxfId="574" tableBorderDxfId="573">
  <autoFilter ref="B70:M75"/>
  <tableColumns count="12">
    <tableColumn id="1" name="Spalte1" dataDxfId="572">
      <calculatedColumnFormula>CONCATENATE("5.",Prüfkriterien_5[[#This Row],[Spalte2]])</calculatedColumnFormula>
    </tableColumn>
    <tableColumn id="2" name="Spalte2" dataDxfId="571">
      <calculatedColumnFormula>ROW()-ROW(Prüfkriterien_5[[#Headers],[Spalte3]])</calculatedColumnFormula>
    </tableColumn>
    <tableColumn id="3" name="Spalte3" dataDxfId="570">
      <calculatedColumnFormula>(Prüfkriterien_5[Spalte2]+50)/10</calculatedColumnFormula>
    </tableColumn>
    <tableColumn id="4" name="Spalte4" dataDxfId="569"/>
    <tableColumn id="5" name="Spalte5" dataDxfId="568"/>
    <tableColumn id="6" name="Spalte6" dataDxfId="567"/>
    <tableColumn id="7" name="Spalte7" dataDxfId="566"/>
    <tableColumn id="8" name="Spalte8" dataDxfId="565"/>
    <tableColumn id="9" name="Spalte9" dataDxfId="564"/>
    <tableColumn id="10" name="Spalte10" dataDxfId="563"/>
    <tableColumn id="11" name="Spalte11" dataDxfId="562"/>
    <tableColumn id="12" name="Spalte12" dataDxfId="561"/>
  </tableColumns>
  <tableStyleInfo name="TSL_1" showFirstColumn="0" showLastColumn="0" showRowStripes="1" showColumnStripes="0"/>
</table>
</file>

<file path=xl/tables/table6.xml><?xml version="1.0" encoding="utf-8"?>
<table xmlns="http://schemas.openxmlformats.org/spreadsheetml/2006/main" id="1" name="Prüfkriterien_6" displayName="Prüfkriterien_6" ref="B77:M82" totalsRowShown="0" headerRowDxfId="560" dataDxfId="559" tableBorderDxfId="558">
  <autoFilter ref="B77:M82"/>
  <tableColumns count="12">
    <tableColumn id="1" name="Spalte1" dataDxfId="557">
      <calculatedColumnFormula>CONCATENATE("6.",Prüfkriterien_6[[#This Row],[Spalte2]])</calculatedColumnFormula>
    </tableColumn>
    <tableColumn id="2" name="Spalte2" dataDxfId="556">
      <calculatedColumnFormula>ROW()-ROW(Prüfkriterien_6[[#Headers],[Spalte3]])</calculatedColumnFormula>
    </tableColumn>
    <tableColumn id="3" name="Spalte3" dataDxfId="555">
      <calculatedColumnFormula>(Prüfkriterien_6[Spalte2]+60)/10</calculatedColumnFormula>
    </tableColumn>
    <tableColumn id="4" name="Spalte4" dataDxfId="554"/>
    <tableColumn id="5" name="Spalte5" dataDxfId="553"/>
    <tableColumn id="6" name="Spalte6" dataDxfId="552"/>
    <tableColumn id="7" name="Spalte7" dataDxfId="551"/>
    <tableColumn id="8" name="Spalte8" dataDxfId="550"/>
    <tableColumn id="9" name="Spalte9" dataDxfId="549"/>
    <tableColumn id="10" name="Spalte10" dataDxfId="548"/>
    <tableColumn id="11" name="Spalte11" dataDxfId="547"/>
    <tableColumn id="12" name="Spalte12" dataDxfId="546"/>
  </tableColumns>
  <tableStyleInfo name="TSL_1" showFirstColumn="0" showLastColumn="0" showRowStripes="1" showColumnStripes="0"/>
</table>
</file>

<file path=xl/tables/table7.xml><?xml version="1.0" encoding="utf-8"?>
<table xmlns="http://schemas.openxmlformats.org/spreadsheetml/2006/main" id="7" name="Prüfkriterien_7" displayName="Prüfkriterien_7" ref="B84:M89" totalsRowShown="0" headerRowDxfId="545" dataDxfId="544" tableBorderDxfId="543">
  <autoFilter ref="B84:M89"/>
  <tableColumns count="12">
    <tableColumn id="1" name="Spalte1" dataDxfId="542">
      <calculatedColumnFormula>CONCATENATE("7.",Prüfkriterien_7[[#This Row],[Spalte2]])</calculatedColumnFormula>
    </tableColumn>
    <tableColumn id="2" name="Spalte2" dataDxfId="541">
      <calculatedColumnFormula>ROW()-ROW(Prüfkriterien_7[[#Headers],[Spalte3]])</calculatedColumnFormula>
    </tableColumn>
    <tableColumn id="3" name="Spalte3" dataDxfId="540">
      <calculatedColumnFormula>(Prüfkriterien_7[Spalte2]+70)/10</calculatedColumnFormula>
    </tableColumn>
    <tableColumn id="4" name="Spalte4" dataDxfId="539"/>
    <tableColumn id="5" name="Spalte5" dataDxfId="538"/>
    <tableColumn id="6" name="Spalte6" dataDxfId="537"/>
    <tableColumn id="7" name="Spalte7" dataDxfId="536"/>
    <tableColumn id="8" name="Spalte8" dataDxfId="535"/>
    <tableColumn id="9" name="Spalte9" dataDxfId="534"/>
    <tableColumn id="10" name="Spalte10" dataDxfId="533"/>
    <tableColumn id="11" name="Spalte11" dataDxfId="532"/>
    <tableColumn id="12" name="Spalte12" dataDxfId="531"/>
  </tableColumns>
  <tableStyleInfo name="TSL_1" showFirstColumn="0" showLastColumn="0" showRowStripes="1" showColumnStripes="0"/>
</table>
</file>

<file path=xl/tables/table8.xml><?xml version="1.0" encoding="utf-8"?>
<table xmlns="http://schemas.openxmlformats.org/spreadsheetml/2006/main" id="8" name="Prüfkriterien_8" displayName="Prüfkriterien_8" ref="B91:M96" totalsRowShown="0" headerRowDxfId="530" dataDxfId="529" tableBorderDxfId="528">
  <autoFilter ref="B91:M96"/>
  <tableColumns count="12">
    <tableColumn id="1" name="Spalte1" dataDxfId="527">
      <calculatedColumnFormula>CONCATENATE("8.",Prüfkriterien_8[[#This Row],[Spalte2]])</calculatedColumnFormula>
    </tableColumn>
    <tableColumn id="2" name="Spalte2" dataDxfId="526">
      <calculatedColumnFormula>ROW()-ROW(Prüfkriterien_8[[#Headers],[Spalte3]])</calculatedColumnFormula>
    </tableColumn>
    <tableColumn id="3" name="Spalte3" dataDxfId="525">
      <calculatedColumnFormula>(Prüfkriterien_8[Spalte2]+80)/10</calculatedColumnFormula>
    </tableColumn>
    <tableColumn id="4" name="Spalte4" dataDxfId="524"/>
    <tableColumn id="5" name="Spalte5" dataDxfId="523"/>
    <tableColumn id="6" name="Spalte6" dataDxfId="522"/>
    <tableColumn id="7" name="Spalte7" dataDxfId="521"/>
    <tableColumn id="8" name="Spalte8" dataDxfId="520"/>
    <tableColumn id="9" name="Spalte9" dataDxfId="519"/>
    <tableColumn id="10" name="Spalte10" dataDxfId="518"/>
    <tableColumn id="11" name="Spalte11" dataDxfId="517"/>
    <tableColumn id="12" name="Spalte12" dataDxfId="516"/>
  </tableColumns>
  <tableStyleInfo name="TSL_1" showFirstColumn="0" showLastColumn="0" showRowStripes="1" showColumnStripes="0"/>
</table>
</file>

<file path=xl/tables/table9.xml><?xml version="1.0" encoding="utf-8"?>
<table xmlns="http://schemas.openxmlformats.org/spreadsheetml/2006/main" id="9" name="Prüfkriterien_9" displayName="Prüfkriterien_9" ref="B98:M103" totalsRowShown="0" headerRowDxfId="515" dataDxfId="514" tableBorderDxfId="513">
  <autoFilter ref="B98:M103"/>
  <tableColumns count="12">
    <tableColumn id="1" name="Spalte1" dataDxfId="512">
      <calculatedColumnFormula>CONCATENATE("9.",Prüfkriterien_9[[#This Row],[Spalte2]])</calculatedColumnFormula>
    </tableColumn>
    <tableColumn id="2" name="Spalte2" dataDxfId="511">
      <calculatedColumnFormula>ROW()-ROW(Prüfkriterien_9[[#Headers],[Spalte3]])</calculatedColumnFormula>
    </tableColumn>
    <tableColumn id="3" name="Spalte3" dataDxfId="510">
      <calculatedColumnFormula>(Prüfkriterien_9[Spalte2]+90)/10</calculatedColumnFormula>
    </tableColumn>
    <tableColumn id="4" name="Spalte4" dataDxfId="509"/>
    <tableColumn id="5" name="Spalte5" dataDxfId="508"/>
    <tableColumn id="6" name="Spalte6" dataDxfId="507"/>
    <tableColumn id="7" name="Spalte7" dataDxfId="506"/>
    <tableColumn id="8" name="Spalte8" dataDxfId="505"/>
    <tableColumn id="9" name="Spalte9" dataDxfId="504"/>
    <tableColumn id="10" name="Spalte10" dataDxfId="503"/>
    <tableColumn id="11" name="Spalte11" dataDxfId="502"/>
    <tableColumn id="12" name="Spalte12" dataDxfId="501"/>
  </tableColumns>
  <tableStyleInfo name="TSL_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18" Type="http://schemas.openxmlformats.org/officeDocument/2006/relationships/table" Target="../tables/table16.xml"/><Relationship Id="rId3" Type="http://schemas.openxmlformats.org/officeDocument/2006/relationships/table" Target="../tables/table1.xml"/><Relationship Id="rId21" Type="http://schemas.openxmlformats.org/officeDocument/2006/relationships/table" Target="../tables/table19.xml"/><Relationship Id="rId7" Type="http://schemas.openxmlformats.org/officeDocument/2006/relationships/table" Target="../tables/table5.xml"/><Relationship Id="rId12" Type="http://schemas.openxmlformats.org/officeDocument/2006/relationships/table" Target="../tables/table10.xml"/><Relationship Id="rId17" Type="http://schemas.openxmlformats.org/officeDocument/2006/relationships/table" Target="../tables/table15.xml"/><Relationship Id="rId2" Type="http://schemas.openxmlformats.org/officeDocument/2006/relationships/vmlDrawing" Target="../drawings/vmlDrawing3.vml"/><Relationship Id="rId16" Type="http://schemas.openxmlformats.org/officeDocument/2006/relationships/table" Target="../tables/table14.xml"/><Relationship Id="rId20" Type="http://schemas.openxmlformats.org/officeDocument/2006/relationships/table" Target="../tables/table18.xml"/><Relationship Id="rId1" Type="http://schemas.openxmlformats.org/officeDocument/2006/relationships/printerSettings" Target="../printerSettings/printerSettings3.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5" Type="http://schemas.openxmlformats.org/officeDocument/2006/relationships/table" Target="../tables/table13.xml"/><Relationship Id="rId10" Type="http://schemas.openxmlformats.org/officeDocument/2006/relationships/table" Target="../tables/table8.xml"/><Relationship Id="rId19" Type="http://schemas.openxmlformats.org/officeDocument/2006/relationships/table" Target="../tables/table17.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 Id="rId22" Type="http://schemas.openxmlformats.org/officeDocument/2006/relationships/table" Target="../tables/table20.xml"/></Relationships>
</file>

<file path=xl/worksheets/_rels/sheet4.xml.rels><?xml version="1.0" encoding="UTF-8" standalone="yes"?>
<Relationships xmlns="http://schemas.openxmlformats.org/package/2006/relationships"><Relationship Id="rId8" Type="http://schemas.openxmlformats.org/officeDocument/2006/relationships/table" Target="../tables/table26.xml"/><Relationship Id="rId13" Type="http://schemas.openxmlformats.org/officeDocument/2006/relationships/table" Target="../tables/table31.xml"/><Relationship Id="rId18" Type="http://schemas.openxmlformats.org/officeDocument/2006/relationships/table" Target="../tables/table36.xml"/><Relationship Id="rId3" Type="http://schemas.openxmlformats.org/officeDocument/2006/relationships/table" Target="../tables/table21.xml"/><Relationship Id="rId21" Type="http://schemas.openxmlformats.org/officeDocument/2006/relationships/table" Target="../tables/table39.xml"/><Relationship Id="rId7" Type="http://schemas.openxmlformats.org/officeDocument/2006/relationships/table" Target="../tables/table25.xml"/><Relationship Id="rId12" Type="http://schemas.openxmlformats.org/officeDocument/2006/relationships/table" Target="../tables/table30.xml"/><Relationship Id="rId17" Type="http://schemas.openxmlformats.org/officeDocument/2006/relationships/table" Target="../tables/table35.xml"/><Relationship Id="rId2" Type="http://schemas.openxmlformats.org/officeDocument/2006/relationships/vmlDrawing" Target="../drawings/vmlDrawing4.vml"/><Relationship Id="rId16" Type="http://schemas.openxmlformats.org/officeDocument/2006/relationships/table" Target="../tables/table34.xml"/><Relationship Id="rId20" Type="http://schemas.openxmlformats.org/officeDocument/2006/relationships/table" Target="../tables/table38.xml"/><Relationship Id="rId1" Type="http://schemas.openxmlformats.org/officeDocument/2006/relationships/printerSettings" Target="../printerSettings/printerSettings4.bin"/><Relationship Id="rId6" Type="http://schemas.openxmlformats.org/officeDocument/2006/relationships/table" Target="../tables/table24.xml"/><Relationship Id="rId11" Type="http://schemas.openxmlformats.org/officeDocument/2006/relationships/table" Target="../tables/table29.xml"/><Relationship Id="rId5" Type="http://schemas.openxmlformats.org/officeDocument/2006/relationships/table" Target="../tables/table23.xml"/><Relationship Id="rId15" Type="http://schemas.openxmlformats.org/officeDocument/2006/relationships/table" Target="../tables/table33.xml"/><Relationship Id="rId10" Type="http://schemas.openxmlformats.org/officeDocument/2006/relationships/table" Target="../tables/table28.xml"/><Relationship Id="rId19" Type="http://schemas.openxmlformats.org/officeDocument/2006/relationships/table" Target="../tables/table37.xml"/><Relationship Id="rId4" Type="http://schemas.openxmlformats.org/officeDocument/2006/relationships/table" Target="../tables/table22.xml"/><Relationship Id="rId9" Type="http://schemas.openxmlformats.org/officeDocument/2006/relationships/table" Target="../tables/table27.xml"/><Relationship Id="rId14" Type="http://schemas.openxmlformats.org/officeDocument/2006/relationships/table" Target="../tables/table32.xml"/><Relationship Id="rId22" Type="http://schemas.openxmlformats.org/officeDocument/2006/relationships/table" Target="../tables/table40.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3"/>
  </sheetPr>
  <dimension ref="B1:L33"/>
  <sheetViews>
    <sheetView tabSelected="1" zoomScale="70" zoomScaleNormal="70" zoomScalePageLayoutView="70" workbookViewId="0">
      <selection activeCell="B2" sqref="B2:L2"/>
    </sheetView>
  </sheetViews>
  <sheetFormatPr baseColWidth="10" defaultColWidth="8.88671875" defaultRowHeight="13.8" x14ac:dyDescent="0.25"/>
  <cols>
    <col min="1" max="1" width="1.109375" style="6" customWidth="1"/>
    <col min="2" max="2" width="3.6640625" style="6" customWidth="1"/>
    <col min="3" max="3" width="1.6640625" style="6" customWidth="1"/>
    <col min="4" max="5" width="8.6640625" style="6" customWidth="1"/>
    <col min="6" max="6" width="40.6640625" style="6" customWidth="1"/>
    <col min="7" max="7" width="26.6640625" style="6" customWidth="1"/>
    <col min="8" max="8" width="18.6640625" style="6" customWidth="1"/>
    <col min="9" max="9" width="26.6640625" style="6" customWidth="1"/>
    <col min="10" max="10" width="18.6640625" style="6" customWidth="1"/>
    <col min="11" max="11" width="26.6640625" style="6" customWidth="1"/>
    <col min="12" max="12" width="18.6640625" style="6" customWidth="1"/>
    <col min="13" max="13" width="1.109375" style="6" customWidth="1"/>
    <col min="14" max="16384" width="8.88671875" style="6"/>
  </cols>
  <sheetData>
    <row r="1" spans="2:12" ht="6" customHeight="1" x14ac:dyDescent="0.25"/>
    <row r="2" spans="2:12" s="10" customFormat="1" ht="18" customHeight="1" x14ac:dyDescent="0.3">
      <c r="B2" s="150" t="str">
        <f>"Checkliste "&amp;_RLV&amp;""</f>
        <v>Checkliste Mindestanforderungen Ferkelerzeugung und Ferkelaufzucht - erweitert</v>
      </c>
      <c r="C2" s="150"/>
      <c r="D2" s="150"/>
      <c r="E2" s="150"/>
      <c r="F2" s="150"/>
      <c r="G2" s="150"/>
      <c r="H2" s="150"/>
      <c r="I2" s="150"/>
      <c r="J2" s="150"/>
      <c r="K2" s="150"/>
      <c r="L2" s="150"/>
    </row>
    <row r="3" spans="2:12" ht="6" customHeight="1" x14ac:dyDescent="0.25"/>
    <row r="4" spans="2:12" ht="27" customHeight="1" x14ac:dyDescent="0.25">
      <c r="B4" s="81"/>
      <c r="E4" s="153"/>
      <c r="F4" s="153"/>
      <c r="G4" s="153"/>
      <c r="H4" s="153"/>
      <c r="I4" s="153"/>
      <c r="J4" s="153"/>
      <c r="K4" s="153"/>
      <c r="L4" s="153"/>
    </row>
    <row r="5" spans="2:12" s="28" customFormat="1" ht="27" customHeight="1" x14ac:dyDescent="0.3">
      <c r="B5" s="151" t="s">
        <v>0</v>
      </c>
      <c r="C5" s="151"/>
      <c r="D5" s="151"/>
      <c r="E5" s="151"/>
      <c r="F5" s="151"/>
      <c r="G5" s="151"/>
      <c r="H5" s="151"/>
      <c r="I5" s="151"/>
      <c r="J5" s="151"/>
      <c r="K5" s="151"/>
      <c r="L5" s="151"/>
    </row>
    <row r="6" spans="2:12" s="28" customFormat="1" ht="29.4" customHeight="1" x14ac:dyDescent="0.3">
      <c r="B6" s="139" t="s">
        <v>82</v>
      </c>
      <c r="C6" s="139"/>
      <c r="D6" s="139"/>
      <c r="E6" s="139"/>
      <c r="F6" s="139"/>
      <c r="G6" s="152"/>
      <c r="H6" s="152"/>
      <c r="I6" s="152"/>
      <c r="J6" s="152"/>
      <c r="K6" s="152"/>
      <c r="L6" s="152"/>
    </row>
    <row r="7" spans="2:12" s="28" customFormat="1" ht="29.4" customHeight="1" x14ac:dyDescent="0.3">
      <c r="B7" s="139" t="s">
        <v>81</v>
      </c>
      <c r="C7" s="139"/>
      <c r="D7" s="139"/>
      <c r="E7" s="139"/>
      <c r="F7" s="139"/>
      <c r="G7" s="152"/>
      <c r="H7" s="152"/>
      <c r="I7" s="152"/>
      <c r="J7" s="152"/>
      <c r="K7" s="152"/>
      <c r="L7" s="152"/>
    </row>
    <row r="8" spans="2:12" s="28" customFormat="1" ht="29.4" customHeight="1" x14ac:dyDescent="0.3">
      <c r="B8" s="140" t="s">
        <v>79</v>
      </c>
      <c r="C8" s="141"/>
      <c r="D8" s="141"/>
      <c r="E8" s="141"/>
      <c r="F8" s="142"/>
      <c r="G8" s="157"/>
      <c r="H8" s="158"/>
      <c r="I8" s="158"/>
      <c r="J8" s="158"/>
      <c r="K8" s="158"/>
      <c r="L8" s="159"/>
    </row>
    <row r="9" spans="2:12" s="28" customFormat="1" ht="29.4" customHeight="1" x14ac:dyDescent="0.3">
      <c r="B9" s="140" t="s">
        <v>80</v>
      </c>
      <c r="C9" s="141"/>
      <c r="D9" s="141"/>
      <c r="E9" s="141"/>
      <c r="F9" s="142"/>
      <c r="G9" s="157"/>
      <c r="H9" s="158"/>
      <c r="I9" s="158"/>
      <c r="J9" s="158"/>
      <c r="K9" s="158"/>
      <c r="L9" s="159"/>
    </row>
    <row r="10" spans="2:12" s="28" customFormat="1" ht="29.4" customHeight="1" x14ac:dyDescent="0.3">
      <c r="B10" s="139" t="s">
        <v>1</v>
      </c>
      <c r="C10" s="139"/>
      <c r="D10" s="139"/>
      <c r="E10" s="139"/>
      <c r="F10" s="139"/>
      <c r="G10" s="152"/>
      <c r="H10" s="152"/>
      <c r="I10" s="152"/>
      <c r="J10" s="152"/>
      <c r="K10" s="152"/>
      <c r="L10" s="152"/>
    </row>
    <row r="11" spans="2:12" s="28" customFormat="1" ht="29.4" customHeight="1" x14ac:dyDescent="0.3">
      <c r="B11" s="139" t="s">
        <v>2</v>
      </c>
      <c r="C11" s="139"/>
      <c r="D11" s="139"/>
      <c r="E11" s="139"/>
      <c r="F11" s="139"/>
      <c r="G11" s="152"/>
      <c r="H11" s="152"/>
      <c r="I11" s="152"/>
      <c r="J11" s="152"/>
      <c r="K11" s="152"/>
      <c r="L11" s="152"/>
    </row>
    <row r="12" spans="2:12" s="28" customFormat="1" ht="29.4" customHeight="1" x14ac:dyDescent="0.3">
      <c r="B12" s="139" t="s">
        <v>3</v>
      </c>
      <c r="C12" s="139"/>
      <c r="D12" s="139"/>
      <c r="E12" s="139"/>
      <c r="F12" s="139"/>
      <c r="G12" s="152"/>
      <c r="H12" s="152"/>
      <c r="I12" s="152"/>
      <c r="J12" s="152"/>
      <c r="K12" s="152"/>
      <c r="L12" s="152"/>
    </row>
    <row r="13" spans="2:12" s="28" customFormat="1" ht="29.4" customHeight="1" x14ac:dyDescent="0.3">
      <c r="B13" s="139" t="s">
        <v>4</v>
      </c>
      <c r="C13" s="139"/>
      <c r="D13" s="139"/>
      <c r="E13" s="139"/>
      <c r="F13" s="139"/>
      <c r="G13" s="152"/>
      <c r="H13" s="152"/>
      <c r="I13" s="152"/>
      <c r="J13" s="152"/>
      <c r="K13" s="152"/>
      <c r="L13" s="152"/>
    </row>
    <row r="14" spans="2:12" s="28" customFormat="1" ht="29.4" customHeight="1" x14ac:dyDescent="0.3">
      <c r="B14" s="139" t="s">
        <v>5</v>
      </c>
      <c r="C14" s="139"/>
      <c r="D14" s="139"/>
      <c r="E14" s="139"/>
      <c r="F14" s="139"/>
      <c r="G14" s="152"/>
      <c r="H14" s="152"/>
      <c r="I14" s="152"/>
      <c r="J14" s="152"/>
      <c r="K14" s="152"/>
      <c r="L14" s="152"/>
    </row>
    <row r="15" spans="2:12" s="28" customFormat="1" ht="29.4" customHeight="1" x14ac:dyDescent="0.3">
      <c r="B15" s="144" t="s">
        <v>6</v>
      </c>
      <c r="C15" s="145"/>
      <c r="D15" s="145"/>
      <c r="E15" s="145"/>
      <c r="F15" s="146"/>
      <c r="G15" s="39" t="s">
        <v>58</v>
      </c>
      <c r="H15" s="72"/>
      <c r="I15" s="39" t="s">
        <v>59</v>
      </c>
      <c r="J15" s="72"/>
      <c r="K15" s="39" t="s">
        <v>60</v>
      </c>
      <c r="L15" s="72"/>
    </row>
    <row r="16" spans="2:12" s="28" customFormat="1" ht="29.4" customHeight="1" x14ac:dyDescent="0.3">
      <c r="B16" s="147"/>
      <c r="C16" s="148"/>
      <c r="D16" s="148"/>
      <c r="E16" s="148"/>
      <c r="F16" s="149"/>
      <c r="G16" s="39" t="s">
        <v>97</v>
      </c>
      <c r="H16" s="72"/>
      <c r="I16" s="154"/>
      <c r="J16" s="155"/>
      <c r="K16" s="155"/>
      <c r="L16" s="156"/>
    </row>
    <row r="17" spans="2:12" s="28" customFormat="1" ht="29.4" customHeight="1" x14ac:dyDescent="0.3">
      <c r="B17" s="133" t="s">
        <v>57</v>
      </c>
      <c r="C17" s="133"/>
      <c r="D17" s="133"/>
      <c r="E17" s="133"/>
      <c r="F17" s="133"/>
      <c r="G17" s="136"/>
      <c r="H17" s="136"/>
      <c r="I17" s="136"/>
      <c r="J17" s="136"/>
      <c r="K17" s="136"/>
      <c r="L17" s="136"/>
    </row>
    <row r="18" spans="2:12" s="28" customFormat="1" ht="29.4" customHeight="1" x14ac:dyDescent="0.3">
      <c r="B18" s="133" t="s">
        <v>7</v>
      </c>
      <c r="C18" s="133"/>
      <c r="D18" s="133"/>
      <c r="E18" s="133"/>
      <c r="F18" s="133"/>
      <c r="G18" s="73" t="s">
        <v>56</v>
      </c>
      <c r="H18" s="13"/>
      <c r="I18" s="73" t="s">
        <v>9</v>
      </c>
      <c r="J18" s="13"/>
      <c r="K18" s="73" t="s">
        <v>10</v>
      </c>
      <c r="L18" s="14"/>
    </row>
    <row r="19" spans="2:12" s="28" customFormat="1" ht="29.4" customHeight="1" x14ac:dyDescent="0.3">
      <c r="B19" s="133" t="s">
        <v>8</v>
      </c>
      <c r="C19" s="133"/>
      <c r="D19" s="133"/>
      <c r="E19" s="133"/>
      <c r="F19" s="133"/>
      <c r="G19" s="137"/>
      <c r="H19" s="137"/>
      <c r="I19" s="137"/>
      <c r="J19" s="137"/>
      <c r="K19" s="137"/>
      <c r="L19" s="137"/>
    </row>
    <row r="20" spans="2:12" ht="29.25" customHeight="1" x14ac:dyDescent="0.25">
      <c r="B20" s="133" t="s">
        <v>85</v>
      </c>
      <c r="C20" s="133"/>
      <c r="D20" s="133"/>
      <c r="E20" s="133"/>
      <c r="F20" s="133"/>
      <c r="G20" s="134"/>
      <c r="H20" s="134"/>
      <c r="I20" s="134"/>
      <c r="J20" s="134"/>
      <c r="K20" s="134"/>
      <c r="L20" s="134"/>
    </row>
    <row r="23" spans="2:12" s="10" customFormat="1" ht="13.95" customHeight="1" x14ac:dyDescent="0.25">
      <c r="B23" s="138" t="s">
        <v>11</v>
      </c>
      <c r="C23" s="138"/>
      <c r="D23" s="138"/>
      <c r="E23" s="138"/>
      <c r="F23" s="138"/>
      <c r="G23" s="138"/>
      <c r="H23" s="138"/>
      <c r="I23" s="138"/>
      <c r="J23" s="138"/>
      <c r="K23" s="138"/>
      <c r="L23" s="138"/>
    </row>
    <row r="24" spans="2:12" ht="6.6" customHeight="1" x14ac:dyDescent="0.25">
      <c r="B24" s="2"/>
      <c r="C24" s="2"/>
      <c r="D24" s="2"/>
      <c r="E24" s="2"/>
      <c r="F24" s="2"/>
      <c r="G24" s="2"/>
      <c r="H24" s="2"/>
      <c r="I24" s="2"/>
      <c r="J24" s="2"/>
      <c r="K24" s="2"/>
      <c r="L24" s="2"/>
    </row>
    <row r="25" spans="2:12" s="10" customFormat="1" ht="13.95" customHeight="1" x14ac:dyDescent="0.3">
      <c r="B25" s="15"/>
      <c r="C25" s="36"/>
      <c r="D25" s="83" t="s">
        <v>12</v>
      </c>
      <c r="E25" s="83"/>
      <c r="F25" s="83"/>
      <c r="G25" s="83"/>
      <c r="H25" s="83"/>
      <c r="I25" s="83"/>
      <c r="J25" s="83"/>
      <c r="K25" s="83"/>
      <c r="L25" s="83"/>
    </row>
    <row r="26" spans="2:12" ht="13.95" customHeight="1" x14ac:dyDescent="0.25">
      <c r="B26" s="3"/>
      <c r="C26" s="3"/>
      <c r="D26" s="82"/>
      <c r="E26" s="82"/>
      <c r="F26" s="82"/>
      <c r="G26" s="82"/>
      <c r="H26" s="82"/>
      <c r="I26" s="82"/>
      <c r="J26" s="82"/>
      <c r="K26" s="82"/>
      <c r="L26" s="82"/>
    </row>
    <row r="27" spans="2:12" ht="13.95" customHeight="1" x14ac:dyDescent="0.25">
      <c r="B27" s="15"/>
      <c r="C27" s="36"/>
      <c r="D27" s="83" t="s">
        <v>13</v>
      </c>
      <c r="E27" s="83"/>
      <c r="F27" s="83"/>
      <c r="G27" s="83"/>
      <c r="H27" s="83"/>
      <c r="I27" s="83"/>
      <c r="J27" s="83"/>
      <c r="K27" s="83"/>
      <c r="L27" s="83"/>
    </row>
    <row r="28" spans="2:12" x14ac:dyDescent="0.25">
      <c r="B28" s="2"/>
      <c r="C28" s="2"/>
      <c r="D28" s="2"/>
      <c r="E28" s="2"/>
      <c r="F28" s="2"/>
      <c r="G28" s="2"/>
      <c r="H28" s="2"/>
      <c r="I28" s="2"/>
      <c r="J28" s="2"/>
      <c r="K28" s="2"/>
      <c r="L28" s="2"/>
    </row>
    <row r="29" spans="2:12" ht="27" customHeight="1" x14ac:dyDescent="0.25">
      <c r="B29" s="132" t="s">
        <v>84</v>
      </c>
      <c r="C29" s="132"/>
      <c r="D29" s="132"/>
      <c r="E29" s="132"/>
      <c r="F29" s="132"/>
      <c r="G29" s="132"/>
      <c r="H29" s="132"/>
      <c r="I29" s="132"/>
      <c r="J29" s="132"/>
      <c r="K29" s="132"/>
      <c r="L29" s="132"/>
    </row>
    <row r="31" spans="2:12" x14ac:dyDescent="0.25">
      <c r="B31" s="135"/>
      <c r="C31" s="135"/>
      <c r="D31" s="135"/>
      <c r="E31" s="135"/>
      <c r="F31" s="135"/>
      <c r="G31" s="40"/>
      <c r="H31" s="40"/>
      <c r="I31" s="40"/>
      <c r="J31" s="40"/>
      <c r="K31" s="40"/>
      <c r="L31" s="40"/>
    </row>
    <row r="32" spans="2:12" ht="14.4" customHeight="1" x14ac:dyDescent="0.25">
      <c r="B32" s="143" t="s">
        <v>15</v>
      </c>
      <c r="C32" s="143"/>
      <c r="D32" s="143"/>
      <c r="E32" s="143"/>
      <c r="F32" s="130" t="s">
        <v>18</v>
      </c>
      <c r="G32" s="131"/>
      <c r="H32" s="131"/>
      <c r="I32" s="131"/>
      <c r="J32" s="131"/>
      <c r="K32" s="129" t="s">
        <v>17</v>
      </c>
      <c r="L32" s="129"/>
    </row>
    <row r="33" ht="6" customHeight="1" x14ac:dyDescent="0.25"/>
  </sheetData>
  <sheetProtection formatCells="0"/>
  <mergeCells count="36">
    <mergeCell ref="I16:L16"/>
    <mergeCell ref="G13:L13"/>
    <mergeCell ref="G14:L14"/>
    <mergeCell ref="G9:L9"/>
    <mergeCell ref="G8:L8"/>
    <mergeCell ref="G10:L10"/>
    <mergeCell ref="G11:L11"/>
    <mergeCell ref="G12:L12"/>
    <mergeCell ref="B2:L2"/>
    <mergeCell ref="B5:L5"/>
    <mergeCell ref="B6:F6"/>
    <mergeCell ref="B7:F7"/>
    <mergeCell ref="G6:L6"/>
    <mergeCell ref="G7:L7"/>
    <mergeCell ref="E4:L4"/>
    <mergeCell ref="B13:F13"/>
    <mergeCell ref="B12:F12"/>
    <mergeCell ref="B8:F8"/>
    <mergeCell ref="B14:F14"/>
    <mergeCell ref="B32:E32"/>
    <mergeCell ref="B15:F16"/>
    <mergeCell ref="B10:F10"/>
    <mergeCell ref="B11:F11"/>
    <mergeCell ref="B9:F9"/>
    <mergeCell ref="G17:L17"/>
    <mergeCell ref="G19:L19"/>
    <mergeCell ref="B23:L23"/>
    <mergeCell ref="B17:F17"/>
    <mergeCell ref="B18:F18"/>
    <mergeCell ref="B19:F19"/>
    <mergeCell ref="K32:L32"/>
    <mergeCell ref="F32:J32"/>
    <mergeCell ref="B29:L29"/>
    <mergeCell ref="B20:F20"/>
    <mergeCell ref="G20:L20"/>
    <mergeCell ref="B31:F31"/>
  </mergeCells>
  <dataValidations count="3">
    <dataValidation type="list" allowBlank="1" showInputMessage="1" showErrorMessage="1" sqref="C25">
      <formula1>_chbx</formula1>
    </dataValidation>
    <dataValidation type="list" allowBlank="1" showInputMessage="1" showErrorMessage="1" sqref="G17:L17">
      <formula1>_Datum</formula1>
    </dataValidation>
    <dataValidation type="list" allowBlank="1" showInputMessage="1" showErrorMessage="1" sqref="G6:L6 E4:L4">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verticalDpi="1200" r:id="rId1"/>
  <headerFooter>
    <oddFooter>&amp;L&amp;"Arial,Standard"&amp;8
Version 2024&amp;C&amp;G&amp;R
&amp;"Arial,Standard"&amp;8&amp;P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Einstellungen!$C$9:$C$10</xm:f>
          </x14:formula1>
          <xm:sqref>B25 B27 H15:H16 L15 J15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3"/>
  </sheetPr>
  <dimension ref="B1:I23"/>
  <sheetViews>
    <sheetView zoomScale="70" zoomScaleNormal="70" zoomScalePageLayoutView="70" workbookViewId="0">
      <selection activeCell="B2" sqref="B2:I2"/>
    </sheetView>
  </sheetViews>
  <sheetFormatPr baseColWidth="10" defaultColWidth="8.88671875" defaultRowHeight="13.8" x14ac:dyDescent="0.3"/>
  <cols>
    <col min="1" max="1" width="1.109375" style="10" customWidth="1"/>
    <col min="2" max="2" width="8.6640625" style="10" customWidth="1"/>
    <col min="3" max="3" width="24.6640625" style="10" customWidth="1"/>
    <col min="4" max="5" width="32.6640625" style="10" customWidth="1"/>
    <col min="6" max="6" width="16.6640625" style="16" customWidth="1"/>
    <col min="7" max="7" width="40.6640625" style="10" customWidth="1"/>
    <col min="8" max="8" width="24.6640625" style="10" customWidth="1"/>
    <col min="9" max="9" width="16.6640625" style="10" customWidth="1"/>
    <col min="10" max="10" width="1.109375" style="10" customWidth="1"/>
    <col min="11" max="16384" width="8.88671875" style="10"/>
  </cols>
  <sheetData>
    <row r="1" spans="2:9" ht="6" customHeight="1" x14ac:dyDescent="0.3"/>
    <row r="2" spans="2:9" s="37" customFormat="1" ht="18" customHeight="1" x14ac:dyDescent="0.3">
      <c r="B2" s="172" t="str">
        <f>"Checkliste "&amp;_RLV&amp;""</f>
        <v>Checkliste Mindestanforderungen Ferkelerzeugung und Ferkelaufzucht - erweitert</v>
      </c>
      <c r="C2" s="172"/>
      <c r="D2" s="172"/>
      <c r="E2" s="172"/>
      <c r="F2" s="172"/>
      <c r="G2" s="172"/>
      <c r="H2" s="172"/>
      <c r="I2" s="172"/>
    </row>
    <row r="3" spans="2:9" s="19" customFormat="1" ht="6" customHeight="1" x14ac:dyDescent="0.3">
      <c r="B3" s="17"/>
      <c r="C3" s="17"/>
      <c r="D3" s="17"/>
      <c r="E3" s="17"/>
      <c r="F3" s="18"/>
      <c r="G3" s="18"/>
      <c r="H3" s="18"/>
      <c r="I3" s="17"/>
    </row>
    <row r="4" spans="2:9" ht="27" customHeight="1" x14ac:dyDescent="0.3">
      <c r="B4" s="20" t="s">
        <v>19</v>
      </c>
      <c r="C4" s="163"/>
      <c r="D4" s="163"/>
      <c r="E4" s="163"/>
      <c r="F4" s="163"/>
      <c r="G4" s="163"/>
      <c r="H4" s="22"/>
      <c r="I4" s="60"/>
    </row>
    <row r="5" spans="2:9" ht="27" customHeight="1" x14ac:dyDescent="0.3">
      <c r="B5" s="162" t="s">
        <v>20</v>
      </c>
      <c r="C5" s="162"/>
      <c r="D5" s="162"/>
      <c r="E5" s="162"/>
      <c r="F5" s="162"/>
      <c r="G5" s="162"/>
      <c r="H5" s="162"/>
      <c r="I5" s="162"/>
    </row>
    <row r="6" spans="2:9" s="16" customFormat="1" ht="27" customHeight="1" x14ac:dyDescent="0.3">
      <c r="B6" s="5" t="s">
        <v>21</v>
      </c>
      <c r="C6" s="5" t="s">
        <v>62</v>
      </c>
      <c r="D6" s="167" t="s">
        <v>22</v>
      </c>
      <c r="E6" s="168"/>
      <c r="F6" s="4" t="s">
        <v>29</v>
      </c>
      <c r="G6" s="5" t="s">
        <v>24</v>
      </c>
      <c r="H6" s="5" t="s">
        <v>25</v>
      </c>
      <c r="I6" s="5" t="s">
        <v>86</v>
      </c>
    </row>
    <row r="7" spans="2:9" ht="56.1" customHeight="1" x14ac:dyDescent="0.3">
      <c r="B7" s="5">
        <v>1</v>
      </c>
      <c r="C7" s="1"/>
      <c r="D7" s="169"/>
      <c r="E7" s="170"/>
      <c r="F7" s="79"/>
      <c r="G7" s="86"/>
      <c r="H7" s="1"/>
      <c r="I7" s="1"/>
    </row>
    <row r="8" spans="2:9" ht="56.1" customHeight="1" x14ac:dyDescent="0.3">
      <c r="B8" s="5">
        <v>2</v>
      </c>
      <c r="C8" s="1"/>
      <c r="D8" s="169"/>
      <c r="E8" s="170"/>
      <c r="F8" s="80"/>
      <c r="G8" s="86"/>
      <c r="H8" s="1"/>
      <c r="I8" s="1"/>
    </row>
    <row r="9" spans="2:9" ht="56.1" customHeight="1" x14ac:dyDescent="0.3">
      <c r="B9" s="5">
        <v>3</v>
      </c>
      <c r="C9" s="1"/>
      <c r="D9" s="169"/>
      <c r="E9" s="170"/>
      <c r="F9" s="80"/>
      <c r="G9" s="86"/>
      <c r="H9" s="1"/>
      <c r="I9" s="1"/>
    </row>
    <row r="10" spans="2:9" ht="56.1" customHeight="1" x14ac:dyDescent="0.3">
      <c r="B10" s="5">
        <v>4</v>
      </c>
      <c r="C10" s="1"/>
      <c r="D10" s="169"/>
      <c r="E10" s="170"/>
      <c r="F10" s="80"/>
      <c r="G10" s="86"/>
      <c r="H10" s="1"/>
      <c r="I10" s="1"/>
    </row>
    <row r="11" spans="2:9" ht="56.1" customHeight="1" x14ac:dyDescent="0.3">
      <c r="B11" s="5">
        <v>5</v>
      </c>
      <c r="C11" s="1"/>
      <c r="D11" s="169"/>
      <c r="E11" s="170"/>
      <c r="F11" s="80"/>
      <c r="G11" s="86"/>
      <c r="H11" s="1"/>
      <c r="I11" s="1"/>
    </row>
    <row r="12" spans="2:9" ht="56.1" customHeight="1" x14ac:dyDescent="0.3">
      <c r="B12" s="5">
        <v>6</v>
      </c>
      <c r="C12" s="1"/>
      <c r="D12" s="169"/>
      <c r="E12" s="170"/>
      <c r="F12" s="80"/>
      <c r="G12" s="86"/>
      <c r="H12" s="1"/>
      <c r="I12" s="1"/>
    </row>
    <row r="13" spans="2:9" ht="56.1" customHeight="1" x14ac:dyDescent="0.3">
      <c r="B13" s="5">
        <v>7</v>
      </c>
      <c r="C13" s="1"/>
      <c r="D13" s="169"/>
      <c r="E13" s="170"/>
      <c r="F13" s="80"/>
      <c r="G13" s="86"/>
      <c r="H13" s="1"/>
      <c r="I13" s="1"/>
    </row>
    <row r="14" spans="2:9" ht="56.1" customHeight="1" x14ac:dyDescent="0.3">
      <c r="B14" s="5">
        <v>8</v>
      </c>
      <c r="C14" s="1"/>
      <c r="D14" s="169"/>
      <c r="E14" s="170"/>
      <c r="F14" s="80"/>
      <c r="G14" s="86"/>
      <c r="H14" s="1"/>
      <c r="I14" s="1"/>
    </row>
    <row r="15" spans="2:9" ht="56.1" customHeight="1" x14ac:dyDescent="0.3">
      <c r="B15" s="5">
        <v>9</v>
      </c>
      <c r="C15" s="1"/>
      <c r="D15" s="169"/>
      <c r="E15" s="170"/>
      <c r="F15" s="80"/>
      <c r="G15" s="86"/>
      <c r="H15" s="1"/>
      <c r="I15" s="1"/>
    </row>
    <row r="16" spans="2:9" ht="56.1" customHeight="1" x14ac:dyDescent="0.3">
      <c r="B16" s="5">
        <v>10</v>
      </c>
      <c r="C16" s="1"/>
      <c r="D16" s="169"/>
      <c r="E16" s="170"/>
      <c r="F16" s="80"/>
      <c r="G16" s="86"/>
      <c r="H16" s="1"/>
      <c r="I16" s="1"/>
    </row>
    <row r="17" spans="2:9" ht="15.6" x14ac:dyDescent="0.3">
      <c r="B17" s="164" t="s">
        <v>87</v>
      </c>
      <c r="C17" s="164"/>
      <c r="D17" s="164"/>
      <c r="E17" s="164"/>
      <c r="F17" s="3"/>
      <c r="G17" s="20"/>
      <c r="H17" s="20"/>
      <c r="I17" s="20"/>
    </row>
    <row r="19" spans="2:9" ht="28.2" customHeight="1" x14ac:dyDescent="0.3">
      <c r="B19" s="165" t="s">
        <v>61</v>
      </c>
      <c r="C19" s="166"/>
      <c r="D19" s="166"/>
      <c r="E19" s="166"/>
      <c r="F19" s="166"/>
      <c r="G19" s="166"/>
      <c r="H19" s="166"/>
      <c r="I19" s="166"/>
    </row>
    <row r="22" spans="2:9" x14ac:dyDescent="0.3">
      <c r="B22" s="171"/>
      <c r="C22" s="171"/>
      <c r="D22" s="171"/>
      <c r="E22" s="24"/>
      <c r="F22" s="25"/>
      <c r="G22" s="24"/>
      <c r="H22" s="24"/>
      <c r="I22" s="24"/>
    </row>
    <row r="23" spans="2:9" x14ac:dyDescent="0.3">
      <c r="B23" s="160" t="s">
        <v>15</v>
      </c>
      <c r="C23" s="160"/>
      <c r="E23" s="161" t="s">
        <v>16</v>
      </c>
      <c r="F23" s="161"/>
      <c r="G23" s="161"/>
      <c r="H23" s="129" t="s">
        <v>17</v>
      </c>
      <c r="I23" s="129"/>
    </row>
  </sheetData>
  <sheetProtection formatCells="0"/>
  <mergeCells count="20">
    <mergeCell ref="B2:I2"/>
    <mergeCell ref="D8:E8"/>
    <mergeCell ref="D9:E9"/>
    <mergeCell ref="D10:E10"/>
    <mergeCell ref="D11:E11"/>
    <mergeCell ref="B23:C23"/>
    <mergeCell ref="E23:G23"/>
    <mergeCell ref="B5:I5"/>
    <mergeCell ref="C4:G4"/>
    <mergeCell ref="B17:E17"/>
    <mergeCell ref="B19:I19"/>
    <mergeCell ref="D6:E6"/>
    <mergeCell ref="D7:E7"/>
    <mergeCell ref="D12:E12"/>
    <mergeCell ref="H23:I23"/>
    <mergeCell ref="D13:E13"/>
    <mergeCell ref="D14:E14"/>
    <mergeCell ref="D15:E15"/>
    <mergeCell ref="D16:E16"/>
    <mergeCell ref="B22:D22"/>
  </mergeCells>
  <conditionalFormatting sqref="F7:F16">
    <cfRule type="containsText" dxfId="673" priority="1" operator="containsText" text="sAbw">
      <formula>NOT(ISERROR(SEARCH("sAbw",F7)))</formula>
    </cfRule>
    <cfRule type="containsText" dxfId="672" priority="2" operator="containsText" text="lAbw">
      <formula>NOT(ISERROR(SEARCH("lAbw",F7)))</formula>
    </cfRule>
    <cfRule type="containsText" dxfId="671" priority="3" operator="containsText" text="K.O.">
      <formula>NOT(ISERROR(SEARCH("K.O.",F7)))</formula>
    </cfRule>
  </conditionalFormatting>
  <dataValidations count="2">
    <dataValidation type="list" allowBlank="1" showInputMessage="1" showErrorMessage="1" sqref="I4">
      <formula1>_Datum</formula1>
    </dataValidation>
    <dataValidation type="list" allowBlank="1" showInputMessage="1" showErrorMessage="1" sqref="C4:G4">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verticalDpi="1200" r:id="rId1"/>
  <headerFooter>
    <oddFooter>&amp;L&amp;"Arial,Standard"&amp;8
Version 2024&amp;C&amp;G&amp;R
&amp;"Arial,Standard"&amp;8&amp;P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Einstellungen!$C$12:$C$14</xm:f>
          </x14:formula1>
          <xm:sqref>F7:F16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3"/>
  </sheetPr>
  <dimension ref="B1:M181"/>
  <sheetViews>
    <sheetView zoomScale="80" zoomScaleNormal="80" workbookViewId="0">
      <pane ySplit="7" topLeftCell="A8" activePane="bottomLeft" state="frozen"/>
      <selection activeCell="U18" sqref="U18"/>
      <selection pane="bottomLeft" activeCell="G40" sqref="G40"/>
    </sheetView>
  </sheetViews>
  <sheetFormatPr baseColWidth="10" defaultColWidth="8.88671875" defaultRowHeight="13.2" x14ac:dyDescent="0.25"/>
  <cols>
    <col min="1" max="1" width="1.109375" style="2" customWidth="1"/>
    <col min="2" max="2" width="8.6640625" style="63" customWidth="1"/>
    <col min="3" max="4" width="18.33203125" style="64" hidden="1" customWidth="1"/>
    <col min="5" max="5" width="12.6640625" style="65" customWidth="1"/>
    <col min="6" max="7" width="40.6640625" style="2" customWidth="1"/>
    <col min="8" max="10" width="9.6640625" style="2" customWidth="1"/>
    <col min="11" max="11" width="10.33203125" style="2" customWidth="1"/>
    <col min="12" max="12" width="10.6640625" style="2" customWidth="1"/>
    <col min="13" max="13" width="52.6640625" style="2" customWidth="1"/>
    <col min="14" max="14" width="1.109375" style="2" customWidth="1"/>
    <col min="15" max="16384" width="8.88671875" style="2"/>
  </cols>
  <sheetData>
    <row r="1" spans="2:13" s="10" customFormat="1" ht="6" customHeight="1" x14ac:dyDescent="0.3">
      <c r="B1" s="28"/>
      <c r="C1" s="16"/>
      <c r="D1" s="16"/>
      <c r="G1" s="16"/>
    </row>
    <row r="2" spans="2:13" s="37" customFormat="1" ht="18" customHeight="1" x14ac:dyDescent="0.3">
      <c r="B2" s="150" t="str">
        <f>"Checkliste "&amp;_RLV&amp;""</f>
        <v>Checkliste Mindestanforderungen Ferkelerzeugung und Ferkelaufzucht - erweitert</v>
      </c>
      <c r="C2" s="150"/>
      <c r="D2" s="150"/>
      <c r="E2" s="150"/>
      <c r="F2" s="150"/>
      <c r="G2" s="150"/>
      <c r="H2" s="150"/>
      <c r="I2" s="150"/>
      <c r="J2" s="150"/>
      <c r="K2" s="150"/>
      <c r="L2" s="150"/>
      <c r="M2" s="150"/>
    </row>
    <row r="3" spans="2:13" s="19" customFormat="1" ht="26.1" customHeight="1" x14ac:dyDescent="0.3">
      <c r="B3" s="180" t="s">
        <v>257</v>
      </c>
      <c r="C3" s="181"/>
      <c r="D3" s="181"/>
      <c r="E3" s="181"/>
      <c r="F3" s="181"/>
      <c r="G3" s="181"/>
      <c r="H3" s="181"/>
      <c r="I3" s="181"/>
      <c r="J3" s="181"/>
      <c r="K3" s="181"/>
      <c r="L3" s="181"/>
      <c r="M3" s="181"/>
    </row>
    <row r="4" spans="2:13" s="10" customFormat="1" ht="27" customHeight="1" x14ac:dyDescent="0.3">
      <c r="B4" s="21" t="s">
        <v>19</v>
      </c>
      <c r="C4" s="182"/>
      <c r="D4" s="182"/>
      <c r="E4" s="182"/>
      <c r="F4" s="182"/>
      <c r="G4" s="182"/>
      <c r="H4" s="182"/>
      <c r="I4" s="182"/>
      <c r="J4" s="182"/>
      <c r="K4" s="182"/>
      <c r="M4" s="77"/>
    </row>
    <row r="5" spans="2:13" ht="27" customHeight="1" x14ac:dyDescent="0.25">
      <c r="B5" s="162" t="s">
        <v>30</v>
      </c>
      <c r="C5" s="162"/>
      <c r="D5" s="162"/>
      <c r="E5" s="162"/>
      <c r="F5" s="162"/>
      <c r="G5" s="162"/>
      <c r="H5" s="162"/>
      <c r="I5" s="162"/>
      <c r="J5" s="162"/>
      <c r="K5" s="162"/>
      <c r="L5" s="162"/>
      <c r="M5" s="162"/>
    </row>
    <row r="6" spans="2:13" s="27" customFormat="1" ht="26.4" customHeight="1" x14ac:dyDescent="0.3">
      <c r="B6" s="183" t="s">
        <v>31</v>
      </c>
      <c r="C6" s="185" t="s">
        <v>44</v>
      </c>
      <c r="D6" s="185" t="s">
        <v>45</v>
      </c>
      <c r="E6" s="187" t="s">
        <v>32</v>
      </c>
      <c r="F6" s="185" t="s">
        <v>33</v>
      </c>
      <c r="G6" s="189" t="s">
        <v>34</v>
      </c>
      <c r="H6" s="191" t="s">
        <v>23</v>
      </c>
      <c r="I6" s="192"/>
      <c r="J6" s="192"/>
      <c r="K6" s="192"/>
      <c r="L6" s="193"/>
      <c r="M6" s="185" t="s">
        <v>83</v>
      </c>
    </row>
    <row r="7" spans="2:13" x14ac:dyDescent="0.25">
      <c r="B7" s="184"/>
      <c r="C7" s="186"/>
      <c r="D7" s="186"/>
      <c r="E7" s="188"/>
      <c r="F7" s="186"/>
      <c r="G7" s="190"/>
      <c r="H7" s="23" t="s">
        <v>37</v>
      </c>
      <c r="I7" s="23" t="s">
        <v>26</v>
      </c>
      <c r="J7" s="23" t="s">
        <v>27</v>
      </c>
      <c r="K7" s="23" t="s">
        <v>28</v>
      </c>
      <c r="L7" s="23" t="s">
        <v>290</v>
      </c>
      <c r="M7" s="186"/>
    </row>
    <row r="8" spans="2:13" s="26" customFormat="1" x14ac:dyDescent="0.25">
      <c r="B8" s="176" t="s">
        <v>64</v>
      </c>
      <c r="C8" s="177"/>
      <c r="D8" s="177"/>
      <c r="E8" s="177"/>
      <c r="F8" s="177"/>
      <c r="G8" s="177"/>
      <c r="H8" s="177"/>
      <c r="I8" s="177"/>
      <c r="J8" s="177"/>
      <c r="K8" s="177"/>
      <c r="L8" s="177"/>
      <c r="M8" s="178"/>
    </row>
    <row r="9" spans="2:13" ht="26.4" hidden="1" x14ac:dyDescent="0.25">
      <c r="B9" s="29" t="s">
        <v>31</v>
      </c>
      <c r="C9" s="35" t="s">
        <v>44</v>
      </c>
      <c r="D9" s="35" t="s">
        <v>45</v>
      </c>
      <c r="E9" s="41" t="s">
        <v>32</v>
      </c>
      <c r="F9" s="42" t="s">
        <v>33</v>
      </c>
      <c r="G9" s="43" t="s">
        <v>34</v>
      </c>
      <c r="H9" s="36" t="s">
        <v>23</v>
      </c>
      <c r="I9" s="36" t="s">
        <v>39</v>
      </c>
      <c r="J9" s="36" t="s">
        <v>40</v>
      </c>
      <c r="K9" s="36" t="s">
        <v>41</v>
      </c>
      <c r="L9" s="36" t="s">
        <v>42</v>
      </c>
      <c r="M9" s="30" t="s">
        <v>35</v>
      </c>
    </row>
    <row r="10" spans="2:13" s="62" customFormat="1" ht="45" customHeight="1" x14ac:dyDescent="0.25">
      <c r="B10" s="50" t="str">
        <f>CONCATENATE("1.",Prüfkriterien_1[[#This Row],[Hilfsspalte_Num]])</f>
        <v>1.1</v>
      </c>
      <c r="C10" s="51">
        <f>ROW()-ROW(Prüfkriterien_1[[#Headers],[Hilfsspalte_Kom]])</f>
        <v>1</v>
      </c>
      <c r="D10" s="52">
        <f>(Prüfkriterien_1[Hilfsspalte_Num]+10)/10</f>
        <v>1.1000000000000001</v>
      </c>
      <c r="E10" s="97" t="s">
        <v>162</v>
      </c>
      <c r="F10" s="49" t="s">
        <v>98</v>
      </c>
      <c r="G10" s="32" t="s">
        <v>104</v>
      </c>
      <c r="H10" s="38" t="s">
        <v>63</v>
      </c>
      <c r="I10" s="38" t="s">
        <v>36</v>
      </c>
      <c r="J10" s="38" t="s">
        <v>36</v>
      </c>
      <c r="K10" s="38"/>
      <c r="L10" s="38" t="s">
        <v>36</v>
      </c>
      <c r="M10" s="49"/>
    </row>
    <row r="11" spans="2:13" s="62" customFormat="1" ht="72" customHeight="1" x14ac:dyDescent="0.25">
      <c r="B11" s="50" t="str">
        <f>CONCATENATE("1.",Prüfkriterien_1[[#This Row],[Hilfsspalte_Num]])</f>
        <v>1.2</v>
      </c>
      <c r="C11" s="51">
        <f>ROW()-ROW(Prüfkriterien_1[[#Headers],[Hilfsspalte_Kom]])</f>
        <v>2</v>
      </c>
      <c r="D11" s="52">
        <f>(Prüfkriterien_1[Hilfsspalte_Num]+10)/10</f>
        <v>1.2</v>
      </c>
      <c r="E11" s="97" t="s">
        <v>163</v>
      </c>
      <c r="F11" s="49" t="s">
        <v>102</v>
      </c>
      <c r="G11" s="32" t="s">
        <v>235</v>
      </c>
      <c r="H11" s="38"/>
      <c r="I11" s="38" t="s">
        <v>36</v>
      </c>
      <c r="J11" s="38" t="s">
        <v>36</v>
      </c>
      <c r="K11" s="38"/>
      <c r="L11" s="38" t="s">
        <v>36</v>
      </c>
      <c r="M11" s="49"/>
    </row>
    <row r="12" spans="2:13" s="62" customFormat="1" ht="57" customHeight="1" x14ac:dyDescent="0.25">
      <c r="B12" s="50" t="str">
        <f>CONCATENATE("1.",Prüfkriterien_1[[#This Row],[Hilfsspalte_Num]])</f>
        <v>1.3</v>
      </c>
      <c r="C12" s="51">
        <f>ROW()-ROW(Prüfkriterien_1[[#Headers],[Hilfsspalte_Kom]])</f>
        <v>3</v>
      </c>
      <c r="D12" s="52">
        <f>(Prüfkriterien_1[Hilfsspalte_Num]+10)/10</f>
        <v>1.3</v>
      </c>
      <c r="E12" s="97"/>
      <c r="F12" s="49" t="s">
        <v>99</v>
      </c>
      <c r="G12" s="32" t="s">
        <v>103</v>
      </c>
      <c r="H12" s="38"/>
      <c r="I12" s="38"/>
      <c r="J12" s="38"/>
      <c r="K12" s="38"/>
      <c r="L12" s="38"/>
      <c r="M12" s="49"/>
    </row>
    <row r="13" spans="2:13" s="62" customFormat="1" ht="75.75" customHeight="1" x14ac:dyDescent="0.25">
      <c r="B13" s="66" t="str">
        <f>CONCATENATE("1.",Prüfkriterien_1[[#This Row],[Hilfsspalte_Num]])</f>
        <v>1.4</v>
      </c>
      <c r="C13" s="67">
        <f>ROW()-ROW(Prüfkriterien_1[[#Headers],[Hilfsspalte_Kom]])</f>
        <v>4</v>
      </c>
      <c r="D13" s="68">
        <f>(Prüfkriterien_1[Hilfsspalte_Num]+10)/10</f>
        <v>1.4</v>
      </c>
      <c r="E13" s="97" t="s">
        <v>164</v>
      </c>
      <c r="F13" s="88" t="s">
        <v>100</v>
      </c>
      <c r="G13" s="32" t="s">
        <v>238</v>
      </c>
      <c r="H13" s="70"/>
      <c r="I13" s="71"/>
      <c r="J13" s="71"/>
      <c r="K13" s="71"/>
      <c r="L13" s="71"/>
      <c r="M13" s="69"/>
    </row>
    <row r="14" spans="2:13" s="62" customFormat="1" ht="56.25" customHeight="1" x14ac:dyDescent="0.25">
      <c r="B14" s="66" t="str">
        <f>CONCATENATE("1.",Prüfkriterien_1[[#This Row],[Hilfsspalte_Num]])</f>
        <v>1.5</v>
      </c>
      <c r="C14" s="67">
        <f>ROW()-ROW(Prüfkriterien_1[[#Headers],[Hilfsspalte_Kom]])</f>
        <v>5</v>
      </c>
      <c r="D14" s="68">
        <f>(Prüfkriterien_1[Hilfsspalte_Num]+10)/10</f>
        <v>1.5</v>
      </c>
      <c r="E14" s="97" t="s">
        <v>165</v>
      </c>
      <c r="F14" s="49" t="s">
        <v>101</v>
      </c>
      <c r="G14" s="32" t="s">
        <v>304</v>
      </c>
      <c r="H14" s="70"/>
      <c r="I14" s="71"/>
      <c r="J14" s="71"/>
      <c r="K14" s="71"/>
      <c r="L14" s="71"/>
      <c r="M14" s="69"/>
    </row>
    <row r="15" spans="2:13" s="62" customFormat="1" ht="81.75" customHeight="1" x14ac:dyDescent="0.25">
      <c r="B15" s="92" t="str">
        <f>CONCATENATE("1.",Prüfkriterien_1[[#This Row],[Hilfsspalte_Num]])</f>
        <v>1.6</v>
      </c>
      <c r="C15" s="45">
        <f>ROW()-ROW(Prüfkriterien_1[[#Headers],[Hilfsspalte_Kom]])</f>
        <v>6</v>
      </c>
      <c r="D15" s="46">
        <f>(Prüfkriterien_1[Hilfsspalte_Num]+10)/10</f>
        <v>1.6</v>
      </c>
      <c r="E15" s="41" t="s">
        <v>105</v>
      </c>
      <c r="F15" s="42" t="s">
        <v>106</v>
      </c>
      <c r="G15" s="43" t="s">
        <v>107</v>
      </c>
      <c r="H15" s="33"/>
      <c r="I15" s="38" t="s">
        <v>36</v>
      </c>
      <c r="J15" s="38" t="s">
        <v>36</v>
      </c>
      <c r="K15" s="38"/>
      <c r="L15" s="38"/>
      <c r="M15" s="49"/>
    </row>
    <row r="16" spans="2:13" s="62" customFormat="1" ht="111" customHeight="1" x14ac:dyDescent="0.25">
      <c r="B16" s="92" t="str">
        <f>CONCATENATE("1.",Prüfkriterien_1[[#This Row],[Hilfsspalte_Num]])</f>
        <v>1.7</v>
      </c>
      <c r="C16" s="45">
        <f>ROW()-ROW(Prüfkriterien_1[[#Headers],[Hilfsspalte_Kom]])</f>
        <v>7</v>
      </c>
      <c r="D16" s="46">
        <f>(Prüfkriterien_1[Hilfsspalte_Num]+10)/10</f>
        <v>1.7</v>
      </c>
      <c r="E16" s="41" t="s">
        <v>105</v>
      </c>
      <c r="F16" s="42" t="s">
        <v>308</v>
      </c>
      <c r="G16" s="93" t="s">
        <v>305</v>
      </c>
      <c r="H16" s="33"/>
      <c r="I16" s="38"/>
      <c r="J16" s="38"/>
      <c r="K16" s="38"/>
      <c r="L16" s="38"/>
      <c r="M16" s="49"/>
    </row>
    <row r="17" spans="2:13" s="62" customFormat="1" ht="93.75" customHeight="1" x14ac:dyDescent="0.25">
      <c r="B17" s="92" t="str">
        <f>CONCATENATE("1.",Prüfkriterien_1[[#This Row],[Hilfsspalte_Num]])</f>
        <v>1.8</v>
      </c>
      <c r="C17" s="45">
        <f>ROW()-ROW(Prüfkriterien_1[[#Headers],[Hilfsspalte_Kom]])</f>
        <v>8</v>
      </c>
      <c r="D17" s="46">
        <f>(Prüfkriterien_1[Hilfsspalte_Num]+10)/10</f>
        <v>1.8</v>
      </c>
      <c r="E17" s="94" t="s">
        <v>108</v>
      </c>
      <c r="F17" s="91" t="s">
        <v>309</v>
      </c>
      <c r="G17" s="95" t="s">
        <v>109</v>
      </c>
      <c r="H17" s="33"/>
      <c r="I17" s="38"/>
      <c r="J17" s="38"/>
      <c r="K17" s="38"/>
      <c r="L17" s="38"/>
      <c r="M17" s="49"/>
    </row>
    <row r="18" spans="2:13" s="62" customFormat="1" ht="93.75" customHeight="1" x14ac:dyDescent="0.25">
      <c r="B18" s="92" t="str">
        <f>CONCATENATE("1.",Prüfkriterien_1[[#This Row],[Hilfsspalte_Num]])</f>
        <v>1.9</v>
      </c>
      <c r="C18" s="45">
        <f>ROW()-ROW(Prüfkriterien_1[[#Headers],[Hilfsspalte_Kom]])</f>
        <v>9</v>
      </c>
      <c r="D18" s="46">
        <f>(Prüfkriterien_1[Hilfsspalte_Num]+10)/10</f>
        <v>1.9</v>
      </c>
      <c r="E18" s="114" t="s">
        <v>110</v>
      </c>
      <c r="F18" s="115" t="s">
        <v>260</v>
      </c>
      <c r="G18" s="115" t="s">
        <v>261</v>
      </c>
      <c r="H18" s="33"/>
      <c r="I18" s="38"/>
      <c r="J18" s="38"/>
      <c r="K18" s="38"/>
      <c r="L18" s="38"/>
      <c r="M18" s="49"/>
    </row>
    <row r="19" spans="2:13" s="62" customFormat="1" ht="87.75" customHeight="1" x14ac:dyDescent="0.25">
      <c r="B19" s="50" t="str">
        <f>CONCATENATE("1.",Prüfkriterien_1[[#This Row],[Hilfsspalte_Num]])</f>
        <v>1.10</v>
      </c>
      <c r="C19" s="51">
        <f>ROW()-ROW(Prüfkriterien_1[[#Headers],[Hilfsspalte_Kom]])</f>
        <v>10</v>
      </c>
      <c r="D19" s="52">
        <f>(Prüfkriterien_1[Hilfsspalte_Num]+10)/10</f>
        <v>2</v>
      </c>
      <c r="E19" s="116" t="s">
        <v>110</v>
      </c>
      <c r="F19" s="117" t="s">
        <v>310</v>
      </c>
      <c r="G19" s="117" t="s">
        <v>262</v>
      </c>
      <c r="H19" s="38"/>
      <c r="I19" s="38"/>
      <c r="J19" s="38"/>
      <c r="K19" s="38"/>
      <c r="L19" s="38"/>
      <c r="M19" s="49"/>
    </row>
    <row r="20" spans="2:13" x14ac:dyDescent="0.25">
      <c r="B20" s="179" t="s">
        <v>139</v>
      </c>
      <c r="C20" s="179"/>
      <c r="D20" s="179"/>
      <c r="E20" s="179"/>
      <c r="F20" s="179"/>
      <c r="G20" s="179"/>
      <c r="H20" s="179"/>
      <c r="I20" s="179"/>
      <c r="J20" s="179"/>
      <c r="K20" s="179"/>
      <c r="L20" s="179"/>
      <c r="M20" s="179"/>
    </row>
    <row r="21" spans="2:13" s="53" customFormat="1" hidden="1" x14ac:dyDescent="0.25">
      <c r="B21" s="44" t="s">
        <v>39</v>
      </c>
      <c r="C21" s="45" t="s">
        <v>40</v>
      </c>
      <c r="D21" s="45" t="s">
        <v>41</v>
      </c>
      <c r="E21" s="31" t="s">
        <v>42</v>
      </c>
      <c r="F21" s="32" t="s">
        <v>43</v>
      </c>
      <c r="G21" s="32" t="s">
        <v>46</v>
      </c>
      <c r="H21" s="33" t="s">
        <v>47</v>
      </c>
      <c r="I21" s="33" t="s">
        <v>48</v>
      </c>
      <c r="J21" s="33" t="s">
        <v>49</v>
      </c>
      <c r="K21" s="33" t="s">
        <v>50</v>
      </c>
      <c r="L21" s="33" t="s">
        <v>51</v>
      </c>
      <c r="M21" s="34" t="s">
        <v>52</v>
      </c>
    </row>
    <row r="22" spans="2:13" s="53" customFormat="1" ht="352.5" customHeight="1" x14ac:dyDescent="0.25">
      <c r="B22" s="44" t="str">
        <f>CONCATENATE("2.",Prüfkriterien_2[[#This Row],[Spalte2]])</f>
        <v>2.1</v>
      </c>
      <c r="C22" s="45">
        <f>ROW()-ROW(Prüfkriterien_2[[#Headers],[Spalte3]])</f>
        <v>1</v>
      </c>
      <c r="D22" s="46">
        <f>(Prüfkriterien_2[[#This Row],[Spalte2]]+20)/10</f>
        <v>2.1</v>
      </c>
      <c r="E22" s="98" t="s">
        <v>111</v>
      </c>
      <c r="F22" s="43" t="s">
        <v>112</v>
      </c>
      <c r="G22" s="43" t="s">
        <v>239</v>
      </c>
      <c r="H22" s="70"/>
      <c r="I22" s="70"/>
      <c r="J22" s="70"/>
      <c r="K22" s="70"/>
      <c r="L22" s="70"/>
      <c r="M22" s="49"/>
    </row>
    <row r="23" spans="2:13" s="53" customFormat="1" ht="64.5" customHeight="1" x14ac:dyDescent="0.25">
      <c r="B23" s="44" t="str">
        <f>CONCATENATE("2.",Prüfkriterien_2[[#This Row],[Spalte2]])</f>
        <v>2.2</v>
      </c>
      <c r="C23" s="45">
        <f>ROW()-ROW(Prüfkriterien_2[[#Headers],[Spalte3]])</f>
        <v>2</v>
      </c>
      <c r="D23" s="46">
        <f>(Prüfkriterien_2[[#This Row],[Spalte2]]+20)/10</f>
        <v>2.2000000000000002</v>
      </c>
      <c r="E23" s="98" t="s">
        <v>111</v>
      </c>
      <c r="F23" s="43" t="s">
        <v>113</v>
      </c>
      <c r="G23" s="43"/>
      <c r="H23" s="33"/>
      <c r="I23" s="33"/>
      <c r="J23" s="33"/>
      <c r="K23" s="33"/>
      <c r="L23" s="33"/>
      <c r="M23" s="49"/>
    </row>
    <row r="24" spans="2:13" s="53" customFormat="1" ht="64.5" customHeight="1" x14ac:dyDescent="0.25">
      <c r="B24" s="44" t="str">
        <f>CONCATENATE("2.",Prüfkriterien_2[[#This Row],[Spalte2]])</f>
        <v>2.3</v>
      </c>
      <c r="C24" s="45">
        <f>ROW()-ROW(Prüfkriterien_2[[#Headers],[Spalte3]])</f>
        <v>3</v>
      </c>
      <c r="D24" s="46">
        <f>(Prüfkriterien_2[[#This Row],[Spalte2]]+20)/10</f>
        <v>2.2999999999999998</v>
      </c>
      <c r="E24" s="98" t="s">
        <v>114</v>
      </c>
      <c r="F24" s="120" t="s">
        <v>311</v>
      </c>
      <c r="G24" s="120" t="s">
        <v>259</v>
      </c>
      <c r="H24" s="111"/>
      <c r="I24" s="33"/>
      <c r="J24" s="33"/>
      <c r="K24" s="33"/>
      <c r="L24" s="33"/>
      <c r="M24" s="49"/>
    </row>
    <row r="25" spans="2:13" s="53" customFormat="1" ht="36" customHeight="1" x14ac:dyDescent="0.25">
      <c r="B25" s="44" t="str">
        <f>CONCATENATE("2.",Prüfkriterien_2[[#This Row],[Spalte2]])</f>
        <v>2.4</v>
      </c>
      <c r="C25" s="45">
        <f>ROW()-ROW(Prüfkriterien_2[[#Headers],[Spalte3]])</f>
        <v>4</v>
      </c>
      <c r="D25" s="46">
        <f>(Prüfkriterien_2[[#This Row],[Spalte2]]+20)/10</f>
        <v>2.4</v>
      </c>
      <c r="E25" s="99" t="s">
        <v>114</v>
      </c>
      <c r="F25" s="119" t="s">
        <v>258</v>
      </c>
      <c r="G25" s="119" t="s">
        <v>115</v>
      </c>
      <c r="H25" s="33"/>
      <c r="I25" s="33" t="s">
        <v>36</v>
      </c>
      <c r="J25" s="33" t="s">
        <v>36</v>
      </c>
      <c r="K25" s="33"/>
      <c r="L25" s="33"/>
      <c r="M25" s="49"/>
    </row>
    <row r="26" spans="2:13" s="53" customFormat="1" ht="156.75" customHeight="1" x14ac:dyDescent="0.25">
      <c r="B26" s="44" t="str">
        <f>CONCATENATE("2.",Prüfkriterien_2[[#This Row],[Spalte2]])</f>
        <v>2.5</v>
      </c>
      <c r="C26" s="45">
        <f>ROW()-ROW(Prüfkriterien_2[[#Headers],[Spalte3]])</f>
        <v>5</v>
      </c>
      <c r="D26" s="46">
        <f>(Prüfkriterien_2[[#This Row],[Spalte2]]+20)/10</f>
        <v>2.5</v>
      </c>
      <c r="E26" s="100" t="s">
        <v>116</v>
      </c>
      <c r="F26" s="96" t="s">
        <v>117</v>
      </c>
      <c r="G26" s="96" t="s">
        <v>118</v>
      </c>
      <c r="H26" s="33"/>
      <c r="I26" s="33"/>
      <c r="J26" s="33"/>
      <c r="K26" s="33"/>
      <c r="L26" s="33"/>
      <c r="M26" s="49"/>
    </row>
    <row r="27" spans="2:13" s="53" customFormat="1" ht="70.5" customHeight="1" x14ac:dyDescent="0.25">
      <c r="B27" s="44" t="str">
        <f>CONCATENATE("2.",Prüfkriterien_2[[#This Row],[Spalte2]])</f>
        <v>2.6</v>
      </c>
      <c r="C27" s="45">
        <f>ROW()-ROW(Prüfkriterien_2[[#Headers],[Spalte3]])</f>
        <v>6</v>
      </c>
      <c r="D27" s="46">
        <f>(Prüfkriterien_2[[#This Row],[Spalte2]]+20)/10</f>
        <v>2.6</v>
      </c>
      <c r="E27" s="99" t="s">
        <v>119</v>
      </c>
      <c r="F27" s="95" t="s">
        <v>120</v>
      </c>
      <c r="G27" s="95" t="s">
        <v>121</v>
      </c>
      <c r="H27" s="33"/>
      <c r="I27" s="33"/>
      <c r="J27" s="33"/>
      <c r="K27" s="33"/>
      <c r="L27" s="33"/>
      <c r="M27" s="49"/>
    </row>
    <row r="28" spans="2:13" s="53" customFormat="1" ht="74.25" customHeight="1" x14ac:dyDescent="0.25">
      <c r="B28" s="44" t="str">
        <f>CONCATENATE("2.",Prüfkriterien_2[[#This Row],[Spalte2]])</f>
        <v>2.7</v>
      </c>
      <c r="C28" s="45">
        <f>ROW()-ROW(Prüfkriterien_2[[#Headers],[Spalte3]])</f>
        <v>7</v>
      </c>
      <c r="D28" s="46">
        <f>(Prüfkriterien_2[[#This Row],[Spalte2]]+20)/10</f>
        <v>2.7</v>
      </c>
      <c r="E28" s="100" t="s">
        <v>119</v>
      </c>
      <c r="F28" s="96" t="s">
        <v>122</v>
      </c>
      <c r="G28" s="96"/>
      <c r="H28" s="33"/>
      <c r="I28" s="33"/>
      <c r="J28" s="33"/>
      <c r="K28" s="33"/>
      <c r="L28" s="33"/>
      <c r="M28" s="49"/>
    </row>
    <row r="29" spans="2:13" s="53" customFormat="1" ht="48.75" customHeight="1" x14ac:dyDescent="0.25">
      <c r="B29" s="44" t="str">
        <f>CONCATENATE("2.",Prüfkriterien_2[[#This Row],[Spalte2]])</f>
        <v>2.8</v>
      </c>
      <c r="C29" s="45">
        <f>ROW()-ROW(Prüfkriterien_2[[#Headers],[Spalte3]])</f>
        <v>8</v>
      </c>
      <c r="D29" s="46">
        <f>(Prüfkriterien_2[[#This Row],[Spalte2]]+20)/10</f>
        <v>2.8</v>
      </c>
      <c r="E29" s="98" t="s">
        <v>119</v>
      </c>
      <c r="F29" s="43" t="s">
        <v>263</v>
      </c>
      <c r="G29" s="43"/>
      <c r="H29" s="33"/>
      <c r="I29" s="33"/>
      <c r="J29" s="33"/>
      <c r="K29" s="33"/>
      <c r="L29" s="33"/>
      <c r="M29" s="49"/>
    </row>
    <row r="30" spans="2:13" s="53" customFormat="1" ht="36" customHeight="1" x14ac:dyDescent="0.25">
      <c r="B30" s="44" t="str">
        <f>CONCATENATE("2.",Prüfkriterien_2[[#This Row],[Spalte2]])</f>
        <v>2.9</v>
      </c>
      <c r="C30" s="45">
        <f>ROW()-ROW(Prüfkriterien_2[[#Headers],[Spalte3]])</f>
        <v>9</v>
      </c>
      <c r="D30" s="46">
        <f>(Prüfkriterien_2[[#This Row],[Spalte2]]+20)/10</f>
        <v>2.9</v>
      </c>
      <c r="E30" s="31" t="s">
        <v>123</v>
      </c>
      <c r="F30" s="43" t="s">
        <v>312</v>
      </c>
      <c r="G30" s="43"/>
      <c r="H30" s="33"/>
      <c r="I30" s="33"/>
      <c r="J30" s="33"/>
      <c r="K30" s="33"/>
      <c r="L30" s="33"/>
      <c r="M30" s="49"/>
    </row>
    <row r="31" spans="2:13" s="53" customFormat="1" ht="36" customHeight="1" x14ac:dyDescent="0.25">
      <c r="B31" s="44" t="str">
        <f>CONCATENATE("2.",Prüfkriterien_2[[#This Row],[Spalte2]])</f>
        <v>2.10</v>
      </c>
      <c r="C31" s="45">
        <f>ROW()-ROW(Prüfkriterien_2[[#Headers],[Spalte3]])</f>
        <v>10</v>
      </c>
      <c r="D31" s="46">
        <f>(Prüfkriterien_2[[#This Row],[Spalte2]]+20)/10</f>
        <v>3</v>
      </c>
      <c r="E31" s="98" t="s">
        <v>123</v>
      </c>
      <c r="F31" s="43" t="s">
        <v>124</v>
      </c>
      <c r="G31" s="32"/>
      <c r="H31" s="33"/>
      <c r="I31" s="33"/>
      <c r="J31" s="33"/>
      <c r="K31" s="33"/>
      <c r="L31" s="33"/>
      <c r="M31" s="49"/>
    </row>
    <row r="32" spans="2:13" s="53" customFormat="1" ht="108" customHeight="1" x14ac:dyDescent="0.25">
      <c r="B32" s="44" t="str">
        <f>CONCATENATE("2.",Prüfkriterien_2[[#This Row],[Spalte2]])</f>
        <v>2.11</v>
      </c>
      <c r="C32" s="45">
        <f>ROW()-ROW(Prüfkriterien_2[[#Headers],[Spalte3]])</f>
        <v>11</v>
      </c>
      <c r="D32" s="46">
        <f>(Prüfkriterien_2[[#This Row],[Spalte2]]+20)/10</f>
        <v>3.1</v>
      </c>
      <c r="E32" s="98" t="s">
        <v>123</v>
      </c>
      <c r="F32" s="43" t="s">
        <v>313</v>
      </c>
      <c r="G32" s="32"/>
      <c r="H32" s="33"/>
      <c r="I32" s="33"/>
      <c r="J32" s="33"/>
      <c r="K32" s="33"/>
      <c r="L32" s="33"/>
      <c r="M32" s="49"/>
    </row>
    <row r="33" spans="2:13" s="53" customFormat="1" ht="129.75" customHeight="1" x14ac:dyDescent="0.25">
      <c r="B33" s="44" t="str">
        <f>CONCATENATE("2.",Prüfkriterien_2[[#This Row],[Spalte2]])</f>
        <v>2.12</v>
      </c>
      <c r="C33" s="45">
        <f>ROW()-ROW(Prüfkriterien_2[[#Headers],[Spalte3]])</f>
        <v>12</v>
      </c>
      <c r="D33" s="46">
        <f>(Prüfkriterien_2[[#This Row],[Spalte2]]+20)/10</f>
        <v>3.2</v>
      </c>
      <c r="E33" s="98" t="s">
        <v>123</v>
      </c>
      <c r="F33" s="43" t="s">
        <v>306</v>
      </c>
      <c r="G33" s="43"/>
      <c r="H33" s="33"/>
      <c r="I33" s="33"/>
      <c r="J33" s="33"/>
      <c r="K33" s="33"/>
      <c r="L33" s="33"/>
      <c r="M33" s="49"/>
    </row>
    <row r="34" spans="2:13" s="53" customFormat="1" ht="51.75" customHeight="1" x14ac:dyDescent="0.25">
      <c r="B34" s="44" t="str">
        <f>CONCATENATE("2.",Prüfkriterien_2[[#This Row],[Spalte2]])</f>
        <v>2.13</v>
      </c>
      <c r="C34" s="45">
        <f>ROW()-ROW(Prüfkriterien_2[[#Headers],[Spalte3]])</f>
        <v>13</v>
      </c>
      <c r="D34" s="46">
        <f>(Prüfkriterien_2[[#This Row],[Spalte2]]+20)/10</f>
        <v>3.3</v>
      </c>
      <c r="E34" s="98" t="s">
        <v>125</v>
      </c>
      <c r="F34" s="43" t="s">
        <v>126</v>
      </c>
      <c r="G34" s="43"/>
      <c r="H34" s="33"/>
      <c r="I34" s="33"/>
      <c r="J34" s="33"/>
      <c r="K34" s="33"/>
      <c r="L34" s="33"/>
      <c r="M34" s="49"/>
    </row>
    <row r="35" spans="2:13" s="53" customFormat="1" ht="75" customHeight="1" x14ac:dyDescent="0.25">
      <c r="B35" s="44" t="str">
        <f>CONCATENATE("2.",Prüfkriterien_2[[#This Row],[Spalte2]])</f>
        <v>2.14</v>
      </c>
      <c r="C35" s="45">
        <f>ROW()-ROW(Prüfkriterien_2[[#Headers],[Spalte3]])</f>
        <v>14</v>
      </c>
      <c r="D35" s="46">
        <f>(Prüfkriterien_2[[#This Row],[Spalte2]]+20)/10</f>
        <v>3.4</v>
      </c>
      <c r="E35" s="99" t="s">
        <v>125</v>
      </c>
      <c r="F35" s="95" t="s">
        <v>240</v>
      </c>
      <c r="G35" s="95" t="s">
        <v>127</v>
      </c>
      <c r="H35" s="33"/>
      <c r="I35" s="33"/>
      <c r="J35" s="33"/>
      <c r="K35" s="33"/>
      <c r="L35" s="33"/>
      <c r="M35" s="49"/>
    </row>
    <row r="36" spans="2:13" s="53" customFormat="1" ht="150.75" customHeight="1" x14ac:dyDescent="0.25">
      <c r="B36" s="44" t="str">
        <f>CONCATENATE("2.",Prüfkriterien_2[[#This Row],[Spalte2]])</f>
        <v>2.15</v>
      </c>
      <c r="C36" s="45">
        <f>ROW()-ROW(Prüfkriterien_2[[#Headers],[Spalte3]])</f>
        <v>15</v>
      </c>
      <c r="D36" s="46">
        <f>(Prüfkriterien_2[[#This Row],[Spalte2]]+20)/10</f>
        <v>3.5</v>
      </c>
      <c r="E36" s="100" t="s">
        <v>128</v>
      </c>
      <c r="F36" s="96" t="s">
        <v>314</v>
      </c>
      <c r="G36" s="96" t="s">
        <v>264</v>
      </c>
      <c r="H36" s="33"/>
      <c r="I36" s="33" t="s">
        <v>36</v>
      </c>
      <c r="J36" s="33" t="s">
        <v>36</v>
      </c>
      <c r="K36" s="33"/>
      <c r="L36" s="33"/>
      <c r="M36" s="49"/>
    </row>
    <row r="37" spans="2:13" s="53" customFormat="1" ht="81" customHeight="1" x14ac:dyDescent="0.25">
      <c r="B37" s="44" t="str">
        <f>CONCATENATE("2.",Prüfkriterien_2[[#This Row],[Spalte2]])</f>
        <v>2.16</v>
      </c>
      <c r="C37" s="45">
        <f>ROW()-ROW(Prüfkriterien_2[[#Headers],[Spalte3]])</f>
        <v>16</v>
      </c>
      <c r="D37" s="46">
        <f>(Prüfkriterien_2[[#This Row],[Spalte2]]+20)/10</f>
        <v>3.6</v>
      </c>
      <c r="E37" s="98" t="s">
        <v>128</v>
      </c>
      <c r="F37" s="43" t="s">
        <v>129</v>
      </c>
      <c r="G37" s="43"/>
      <c r="H37" s="33"/>
      <c r="I37" s="33"/>
      <c r="J37" s="33"/>
      <c r="K37" s="33"/>
      <c r="L37" s="33"/>
      <c r="M37" s="49"/>
    </row>
    <row r="38" spans="2:13" s="53" customFormat="1" ht="65.25" customHeight="1" x14ac:dyDescent="0.25">
      <c r="B38" s="44" t="str">
        <f>CONCATENATE("2.",Prüfkriterien_2[[#This Row],[Spalte2]])</f>
        <v>2.17</v>
      </c>
      <c r="C38" s="45">
        <f>ROW()-ROW(Prüfkriterien_2[[#Headers],[Spalte3]])</f>
        <v>17</v>
      </c>
      <c r="D38" s="46">
        <f>(Prüfkriterien_2[[#This Row],[Spalte2]]+20)/10</f>
        <v>3.7</v>
      </c>
      <c r="E38" s="99" t="s">
        <v>128</v>
      </c>
      <c r="F38" s="95" t="s">
        <v>130</v>
      </c>
      <c r="G38" s="95"/>
      <c r="H38" s="33"/>
      <c r="I38" s="33"/>
      <c r="J38" s="33"/>
      <c r="K38" s="33"/>
      <c r="L38" s="33"/>
      <c r="M38" s="49"/>
    </row>
    <row r="39" spans="2:13" s="53" customFormat="1" ht="408.75" customHeight="1" x14ac:dyDescent="0.25">
      <c r="B39" s="44" t="str">
        <f>CONCATENATE("2.",Prüfkriterien_2[[#This Row],[Spalte2]])</f>
        <v>2.18</v>
      </c>
      <c r="C39" s="45">
        <f>ROW()-ROW(Prüfkriterien_2[[#Headers],[Spalte3]])</f>
        <v>18</v>
      </c>
      <c r="D39" s="46">
        <f>(Prüfkriterien_2[[#This Row],[Spalte2]]+20)/10</f>
        <v>3.8</v>
      </c>
      <c r="E39" s="101" t="s">
        <v>128</v>
      </c>
      <c r="F39" s="102" t="s">
        <v>131</v>
      </c>
      <c r="G39" s="102" t="s">
        <v>315</v>
      </c>
      <c r="H39" s="33"/>
      <c r="I39" s="33"/>
      <c r="J39" s="33"/>
      <c r="K39" s="33"/>
      <c r="L39" s="33"/>
      <c r="M39" s="49"/>
    </row>
    <row r="40" spans="2:13" s="53" customFormat="1" ht="123" customHeight="1" x14ac:dyDescent="0.25">
      <c r="B40" s="44" t="str">
        <f>CONCATENATE("2.",Prüfkriterien_2[[#This Row],[Spalte2]])</f>
        <v>2.19</v>
      </c>
      <c r="C40" s="45">
        <f>ROW()-ROW(Prüfkriterien_2[[#Headers],[Spalte3]])</f>
        <v>19</v>
      </c>
      <c r="D40" s="46">
        <f>(Prüfkriterien_2[[#This Row],[Spalte2]]+20)/10</f>
        <v>3.9</v>
      </c>
      <c r="E40" s="98" t="s">
        <v>128</v>
      </c>
      <c r="F40" s="43" t="s">
        <v>132</v>
      </c>
      <c r="G40" s="43" t="s">
        <v>316</v>
      </c>
      <c r="H40" s="33"/>
      <c r="I40" s="33" t="s">
        <v>36</v>
      </c>
      <c r="J40" s="33" t="s">
        <v>36</v>
      </c>
      <c r="K40" s="33"/>
      <c r="L40" s="33"/>
      <c r="M40" s="49"/>
    </row>
    <row r="41" spans="2:13" s="53" customFormat="1" ht="37.5" customHeight="1" x14ac:dyDescent="0.25">
      <c r="B41" s="56" t="str">
        <f>CONCATENATE("2.",Prüfkriterien_2[[#This Row],[Spalte2]])</f>
        <v>2.20</v>
      </c>
      <c r="C41" s="45">
        <f>ROW()-ROW(Prüfkriterien_2[[#Headers],[Spalte3]])</f>
        <v>20</v>
      </c>
      <c r="D41" s="46">
        <f>(Prüfkriterien_2[[#This Row],[Spalte2]]+20)/10</f>
        <v>4</v>
      </c>
      <c r="E41" s="103" t="s">
        <v>133</v>
      </c>
      <c r="F41" s="104" t="s">
        <v>236</v>
      </c>
      <c r="G41" s="104"/>
      <c r="H41" s="70"/>
      <c r="I41" s="70"/>
      <c r="J41" s="70"/>
      <c r="K41" s="70"/>
      <c r="L41" s="70"/>
      <c r="M41" s="87"/>
    </row>
    <row r="42" spans="2:13" s="53" customFormat="1" ht="75.75" customHeight="1" x14ac:dyDescent="0.25">
      <c r="B42" s="56" t="str">
        <f>CONCATENATE("2.",Prüfkriterien_2[[#This Row],[Spalte2]])</f>
        <v>2.21</v>
      </c>
      <c r="C42" s="45">
        <f>ROW()-ROW(Prüfkriterien_2[[#Headers],[Spalte3]])</f>
        <v>21</v>
      </c>
      <c r="D42" s="46">
        <f>(Prüfkriterien_2[[#This Row],[Spalte2]]+20)/10</f>
        <v>4.0999999999999996</v>
      </c>
      <c r="E42" s="100" t="s">
        <v>133</v>
      </c>
      <c r="F42" s="96" t="s">
        <v>134</v>
      </c>
      <c r="G42" s="96" t="s">
        <v>135</v>
      </c>
      <c r="H42" s="70"/>
      <c r="I42" s="70"/>
      <c r="J42" s="70"/>
      <c r="K42" s="70"/>
      <c r="L42" s="70"/>
      <c r="M42" s="87"/>
    </row>
    <row r="43" spans="2:13" s="53" customFormat="1" ht="61.5" customHeight="1" x14ac:dyDescent="0.25">
      <c r="B43" s="56" t="str">
        <f>CONCATENATE("2.",Prüfkriterien_2[[#This Row],[Spalte2]])</f>
        <v>2.22</v>
      </c>
      <c r="C43" s="45">
        <f>ROW()-ROW(Prüfkriterien_2[[#Headers],[Spalte3]])</f>
        <v>22</v>
      </c>
      <c r="D43" s="46">
        <f>(Prüfkriterien_2[[#This Row],[Spalte2]]+20)/10</f>
        <v>4.2</v>
      </c>
      <c r="E43" s="98" t="s">
        <v>136</v>
      </c>
      <c r="F43" s="43" t="s">
        <v>137</v>
      </c>
      <c r="G43" s="93" t="s">
        <v>63</v>
      </c>
      <c r="H43" s="70"/>
      <c r="I43" s="70"/>
      <c r="J43" s="70"/>
      <c r="K43" s="70"/>
      <c r="L43" s="70"/>
      <c r="M43" s="87"/>
    </row>
    <row r="44" spans="2:13" s="53" customFormat="1" ht="81.75" customHeight="1" x14ac:dyDescent="0.25">
      <c r="B44" s="56" t="str">
        <f>CONCATENATE("2.",Prüfkriterien_2[[#This Row],[Spalte2]])</f>
        <v>2.23</v>
      </c>
      <c r="C44" s="45">
        <f>ROW()-ROW(Prüfkriterien_2[[#Headers],[Spalte3]])</f>
        <v>23</v>
      </c>
      <c r="D44" s="46">
        <f>(Prüfkriterien_2[[#This Row],[Spalte2]]+20)/10</f>
        <v>4.3</v>
      </c>
      <c r="E44" s="98" t="s">
        <v>136</v>
      </c>
      <c r="F44" s="43" t="s">
        <v>138</v>
      </c>
      <c r="G44" s="43"/>
      <c r="H44" s="70"/>
      <c r="I44" s="70"/>
      <c r="J44" s="70"/>
      <c r="K44" s="70"/>
      <c r="L44" s="70"/>
      <c r="M44" s="87"/>
    </row>
    <row r="45" spans="2:13" x14ac:dyDescent="0.25">
      <c r="B45" s="173" t="s">
        <v>140</v>
      </c>
      <c r="C45" s="174"/>
      <c r="D45" s="174"/>
      <c r="E45" s="174"/>
      <c r="F45" s="174"/>
      <c r="G45" s="174"/>
      <c r="H45" s="174"/>
      <c r="I45" s="174"/>
      <c r="J45" s="174"/>
      <c r="K45" s="174"/>
      <c r="L45" s="174"/>
      <c r="M45" s="175"/>
    </row>
    <row r="46" spans="2:13" s="53" customFormat="1" hidden="1" x14ac:dyDescent="0.25">
      <c r="B46" s="44" t="s">
        <v>39</v>
      </c>
      <c r="C46" s="45" t="s">
        <v>40</v>
      </c>
      <c r="D46" s="45" t="s">
        <v>41</v>
      </c>
      <c r="E46" s="31" t="s">
        <v>42</v>
      </c>
      <c r="F46" s="32" t="s">
        <v>43</v>
      </c>
      <c r="G46" s="32" t="s">
        <v>46</v>
      </c>
      <c r="H46" s="33" t="s">
        <v>47</v>
      </c>
      <c r="I46" s="33" t="s">
        <v>48</v>
      </c>
      <c r="J46" s="33" t="s">
        <v>49</v>
      </c>
      <c r="K46" s="33" t="s">
        <v>50</v>
      </c>
      <c r="L46" s="33" t="s">
        <v>51</v>
      </c>
      <c r="M46" s="34" t="s">
        <v>52</v>
      </c>
    </row>
    <row r="47" spans="2:13" s="53" customFormat="1" ht="157.5" customHeight="1" x14ac:dyDescent="0.25">
      <c r="B47" s="44" t="str">
        <f>CONCATENATE("3.",Prüfkriterien_3[[#This Row],[Spalte2]])</f>
        <v>3.1</v>
      </c>
      <c r="C47" s="45">
        <f>ROW()-ROW(Prüfkriterien_3[[#Headers],[Spalte3]])</f>
        <v>1</v>
      </c>
      <c r="D47" s="45">
        <f>(Prüfkriterien_3[[#This Row],[Spalte2]]+30)/10</f>
        <v>3.1</v>
      </c>
      <c r="E47" s="98" t="s">
        <v>141</v>
      </c>
      <c r="F47" s="43" t="s">
        <v>265</v>
      </c>
      <c r="G47" s="43" t="s">
        <v>142</v>
      </c>
      <c r="H47" s="70"/>
      <c r="I47" s="70"/>
      <c r="J47" s="70"/>
      <c r="K47" s="70"/>
      <c r="L47" s="70"/>
      <c r="M47" s="49"/>
    </row>
    <row r="48" spans="2:13" s="53" customFormat="1" ht="130.5" customHeight="1" x14ac:dyDescent="0.25">
      <c r="B48" s="44" t="str">
        <f>CONCATENATE("3.",Prüfkriterien_3[[#This Row],[Spalte2]])</f>
        <v>3.2</v>
      </c>
      <c r="C48" s="45">
        <f>ROW()-ROW(Prüfkriterien_3[[#Headers],[Spalte3]])</f>
        <v>2</v>
      </c>
      <c r="D48" s="45">
        <f>(Prüfkriterien_3[[#This Row],[Spalte2]]+30)/10</f>
        <v>3.2</v>
      </c>
      <c r="E48" s="98" t="s">
        <v>143</v>
      </c>
      <c r="F48" s="43" t="s">
        <v>144</v>
      </c>
      <c r="G48" s="43" t="s">
        <v>145</v>
      </c>
      <c r="H48" s="33"/>
      <c r="I48" s="33"/>
      <c r="J48" s="33"/>
      <c r="K48" s="33"/>
      <c r="L48" s="33"/>
      <c r="M48" s="49"/>
    </row>
    <row r="49" spans="2:13" s="53" customFormat="1" ht="102" customHeight="1" x14ac:dyDescent="0.25">
      <c r="B49" s="44" t="str">
        <f>CONCATENATE("3.",Prüfkriterien_3[[#This Row],[Spalte2]])</f>
        <v>3.3</v>
      </c>
      <c r="C49" s="45">
        <f>ROW()-ROW(Prüfkriterien_3[[#Headers],[Spalte3]])</f>
        <v>3</v>
      </c>
      <c r="D49" s="45">
        <f>(Prüfkriterien_3[[#This Row],[Spalte2]]+30)/10</f>
        <v>3.3</v>
      </c>
      <c r="E49" s="99" t="s">
        <v>143</v>
      </c>
      <c r="F49" s="95" t="s">
        <v>146</v>
      </c>
      <c r="G49" s="95" t="s">
        <v>147</v>
      </c>
      <c r="H49" s="33"/>
      <c r="I49" s="33"/>
      <c r="J49" s="33"/>
      <c r="K49" s="33"/>
      <c r="L49" s="33"/>
      <c r="M49" s="49"/>
    </row>
    <row r="50" spans="2:13" s="53" customFormat="1" ht="90" customHeight="1" x14ac:dyDescent="0.25">
      <c r="B50" s="44" t="str">
        <f>CONCATENATE("3.",Prüfkriterien_3[[#This Row],[Spalte2]])</f>
        <v>3.4</v>
      </c>
      <c r="C50" s="45">
        <f>ROW()-ROW(Prüfkriterien_3[[#Headers],[Spalte3]])</f>
        <v>4</v>
      </c>
      <c r="D50" s="45">
        <f>(Prüfkriterien_3[[#This Row],[Spalte2]]+30)/10</f>
        <v>3.4</v>
      </c>
      <c r="E50" s="103" t="s">
        <v>143</v>
      </c>
      <c r="F50" s="104" t="s">
        <v>148</v>
      </c>
      <c r="G50" s="104" t="s">
        <v>149</v>
      </c>
      <c r="H50" s="33"/>
      <c r="I50" s="33"/>
      <c r="J50" s="33"/>
      <c r="K50" s="33"/>
      <c r="L50" s="33"/>
      <c r="M50" s="49"/>
    </row>
    <row r="51" spans="2:13" s="53" customFormat="1" ht="60.75" customHeight="1" x14ac:dyDescent="0.25">
      <c r="B51" s="44" t="str">
        <f>CONCATENATE("3.",Prüfkriterien_3[[#This Row],[Spalte2]])</f>
        <v>3.5</v>
      </c>
      <c r="C51" s="45">
        <f>ROW()-ROW(Prüfkriterien_3[[#Headers],[Spalte3]])</f>
        <v>5</v>
      </c>
      <c r="D51" s="45">
        <f>(Prüfkriterien_3[[#This Row],[Spalte2]]+30)/10</f>
        <v>3.5</v>
      </c>
      <c r="E51" s="103" t="s">
        <v>143</v>
      </c>
      <c r="F51" s="104" t="s">
        <v>150</v>
      </c>
      <c r="G51" s="104" t="s">
        <v>151</v>
      </c>
      <c r="H51" s="33"/>
      <c r="I51" s="33"/>
      <c r="J51" s="33"/>
      <c r="K51" s="33"/>
      <c r="L51" s="33"/>
      <c r="M51" s="49"/>
    </row>
    <row r="52" spans="2:13" s="53" customFormat="1" ht="51.75" customHeight="1" x14ac:dyDescent="0.25">
      <c r="B52" s="44" t="str">
        <f>CONCATENATE("3.",Prüfkriterien_3[[#This Row],[Spalte2]])</f>
        <v>3.6</v>
      </c>
      <c r="C52" s="45">
        <f>ROW()-ROW(Prüfkriterien_3[[#Headers],[Spalte3]])</f>
        <v>6</v>
      </c>
      <c r="D52" s="45">
        <f>(Prüfkriterien_3[[#This Row],[Spalte2]]+30)/10</f>
        <v>3.6</v>
      </c>
      <c r="E52" s="98" t="s">
        <v>152</v>
      </c>
      <c r="F52" s="43" t="s">
        <v>153</v>
      </c>
      <c r="G52" s="43" t="s">
        <v>241</v>
      </c>
      <c r="H52" s="33"/>
      <c r="I52" s="33"/>
      <c r="J52" s="33"/>
      <c r="K52" s="33"/>
      <c r="L52" s="33"/>
      <c r="M52" s="49"/>
    </row>
    <row r="53" spans="2:13" s="53" customFormat="1" ht="63" customHeight="1" x14ac:dyDescent="0.25">
      <c r="B53" s="44" t="str">
        <f>CONCATENATE("3.",Prüfkriterien_3[[#This Row],[Spalte2]])</f>
        <v>3.7</v>
      </c>
      <c r="C53" s="45">
        <f>ROW()-ROW(Prüfkriterien_3[[#Headers],[Spalte3]])</f>
        <v>7</v>
      </c>
      <c r="D53" s="45">
        <f>(Prüfkriterien_3[[#This Row],[Spalte2]]+30)/10</f>
        <v>3.7</v>
      </c>
      <c r="E53" s="98" t="s">
        <v>152</v>
      </c>
      <c r="F53" s="43" t="s">
        <v>266</v>
      </c>
      <c r="G53" s="43"/>
      <c r="H53" s="33"/>
      <c r="I53" s="33"/>
      <c r="J53" s="33"/>
      <c r="K53" s="33"/>
      <c r="L53" s="33"/>
      <c r="M53" s="49"/>
    </row>
    <row r="54" spans="2:13" s="53" customFormat="1" ht="63" customHeight="1" x14ac:dyDescent="0.25">
      <c r="B54" s="44" t="str">
        <f>CONCATENATE("3.",Prüfkriterien_3[[#This Row],[Spalte2]])</f>
        <v>3.8</v>
      </c>
      <c r="C54" s="45">
        <f>ROW()-ROW(Prüfkriterien_3[[#Headers],[Spalte3]])</f>
        <v>8</v>
      </c>
      <c r="D54" s="45">
        <f>(Prüfkriterien_3[[#This Row],[Spalte2]]+30)/10</f>
        <v>3.8</v>
      </c>
      <c r="E54" s="98" t="s">
        <v>152</v>
      </c>
      <c r="F54" s="43" t="s">
        <v>267</v>
      </c>
      <c r="G54" s="32"/>
      <c r="H54" s="33"/>
      <c r="I54" s="33"/>
      <c r="J54" s="33"/>
      <c r="K54" s="33"/>
      <c r="L54" s="33"/>
      <c r="M54" s="49"/>
    </row>
    <row r="55" spans="2:13" s="53" customFormat="1" ht="63" customHeight="1" x14ac:dyDescent="0.25">
      <c r="B55" s="44" t="str">
        <f>CONCATENATE("3.",Prüfkriterien_3[[#This Row],[Spalte2]])</f>
        <v>3.9</v>
      </c>
      <c r="C55" s="45">
        <f>ROW()-ROW(Prüfkriterien_3[[#Headers],[Spalte3]])</f>
        <v>9</v>
      </c>
      <c r="D55" s="45">
        <f>(Prüfkriterien_3[[#This Row],[Spalte2]]+30)/10</f>
        <v>3.9</v>
      </c>
      <c r="E55" s="98" t="s">
        <v>152</v>
      </c>
      <c r="F55" s="43" t="s">
        <v>268</v>
      </c>
      <c r="G55" s="32"/>
      <c r="H55" s="33"/>
      <c r="I55" s="33"/>
      <c r="J55" s="33"/>
      <c r="K55" s="33"/>
      <c r="L55" s="33"/>
      <c r="M55" s="49"/>
    </row>
    <row r="56" spans="2:13" s="53" customFormat="1" ht="75" customHeight="1" x14ac:dyDescent="0.25">
      <c r="B56" s="44" t="str">
        <f>CONCATENATE("3.",Prüfkriterien_3[[#This Row],[Spalte2]])</f>
        <v>3.10</v>
      </c>
      <c r="C56" s="45">
        <f>ROW()-ROW(Prüfkriterien_3[[#Headers],[Spalte3]])</f>
        <v>10</v>
      </c>
      <c r="D56" s="45">
        <f>(Prüfkriterien_3[[#This Row],[Spalte2]]+30)/10</f>
        <v>4</v>
      </c>
      <c r="E56" s="98" t="s">
        <v>154</v>
      </c>
      <c r="F56" s="43" t="s">
        <v>155</v>
      </c>
      <c r="G56" s="43" t="s">
        <v>156</v>
      </c>
      <c r="H56" s="33"/>
      <c r="I56" s="33"/>
      <c r="J56" s="33"/>
      <c r="K56" s="33"/>
      <c r="L56" s="33"/>
      <c r="M56" s="49"/>
    </row>
    <row r="57" spans="2:13" s="53" customFormat="1" ht="78.75" customHeight="1" x14ac:dyDescent="0.25">
      <c r="B57" s="44" t="str">
        <f>CONCATENATE("3.",Prüfkriterien_3[[#This Row],[Spalte2]])</f>
        <v>3.11</v>
      </c>
      <c r="C57" s="45">
        <f>ROW()-ROW(Prüfkriterien_3[[#Headers],[Spalte3]])</f>
        <v>11</v>
      </c>
      <c r="D57" s="45">
        <f>(Prüfkriterien_3[[#This Row],[Spalte2]]+30)/10</f>
        <v>4.0999999999999996</v>
      </c>
      <c r="E57" s="98" t="s">
        <v>154</v>
      </c>
      <c r="F57" s="43" t="s">
        <v>157</v>
      </c>
      <c r="G57" s="43" t="s">
        <v>279</v>
      </c>
      <c r="H57" s="33"/>
      <c r="I57" s="33"/>
      <c r="J57" s="33"/>
      <c r="K57" s="33"/>
      <c r="L57" s="33"/>
      <c r="M57" s="49"/>
    </row>
    <row r="58" spans="2:13" s="53" customFormat="1" ht="36" customHeight="1" x14ac:dyDescent="0.25">
      <c r="B58" s="56" t="str">
        <f>CONCATENATE("3.",Prüfkriterien_3[[#This Row],[Spalte2]])</f>
        <v>3.12</v>
      </c>
      <c r="C58" s="57">
        <f>ROW()-ROW(Prüfkriterien_3[[#Headers],[Spalte3]])</f>
        <v>12</v>
      </c>
      <c r="D58" s="57">
        <f>(Prüfkriterien_3[[#This Row],[Spalte2]]+30)/10</f>
        <v>4.2</v>
      </c>
      <c r="E58" s="31" t="s">
        <v>158</v>
      </c>
      <c r="F58" s="32" t="s">
        <v>159</v>
      </c>
      <c r="G58" s="32"/>
      <c r="H58" s="70"/>
      <c r="I58" s="70"/>
      <c r="J58" s="70"/>
      <c r="K58" s="70"/>
      <c r="L58" s="70"/>
      <c r="M58" s="87"/>
    </row>
    <row r="59" spans="2:13" s="53" customFormat="1" ht="36" customHeight="1" x14ac:dyDescent="0.25">
      <c r="B59" s="56" t="str">
        <f>CONCATENATE("3.",Prüfkriterien_3[[#This Row],[Spalte2]])</f>
        <v>3.13</v>
      </c>
      <c r="C59" s="57">
        <f>ROW()-ROW(Prüfkriterien_3[[#Headers],[Spalte3]])</f>
        <v>13</v>
      </c>
      <c r="D59" s="57">
        <f>(Prüfkriterien_3[[#This Row],[Spalte2]]+30)/10</f>
        <v>4.3</v>
      </c>
      <c r="E59" s="103" t="s">
        <v>158</v>
      </c>
      <c r="F59" s="104" t="s">
        <v>160</v>
      </c>
      <c r="G59" s="32"/>
      <c r="H59" s="70"/>
      <c r="I59" s="70"/>
      <c r="J59" s="70"/>
      <c r="K59" s="70"/>
      <c r="L59" s="70"/>
      <c r="M59" s="87"/>
    </row>
    <row r="60" spans="2:13" s="53" customFormat="1" ht="33.75" customHeight="1" x14ac:dyDescent="0.25">
      <c r="B60" s="56" t="str">
        <f>CONCATENATE("3.",Prüfkriterien_3[[#This Row],[Spalte2]])</f>
        <v>3.14</v>
      </c>
      <c r="C60" s="57">
        <f>ROW()-ROW(Prüfkriterien_3[[#Headers],[Spalte3]])</f>
        <v>14</v>
      </c>
      <c r="D60" s="57">
        <f>(Prüfkriterien_3[[#This Row],[Spalte2]]+30)/10</f>
        <v>4.4000000000000004</v>
      </c>
      <c r="E60" s="98" t="s">
        <v>158</v>
      </c>
      <c r="F60" s="43" t="s">
        <v>161</v>
      </c>
      <c r="G60" s="32"/>
      <c r="H60" s="70"/>
      <c r="I60" s="70"/>
      <c r="J60" s="70"/>
      <c r="K60" s="70"/>
      <c r="L60" s="70"/>
      <c r="M60" s="87"/>
    </row>
    <row r="61" spans="2:13" s="53" customFormat="1" ht="143.25" customHeight="1" x14ac:dyDescent="0.25">
      <c r="B61" s="56" t="str">
        <f>CONCATENATE("3.",Prüfkriterien_3[[#This Row],[Spalte2]])</f>
        <v>3.15</v>
      </c>
      <c r="C61" s="57">
        <f>ROW()-ROW(Prüfkriterien_3[[#Headers],[Spalte3]])</f>
        <v>15</v>
      </c>
      <c r="D61" s="57">
        <f>(Prüfkriterien_3[[#This Row],[Spalte2]]+30)/10</f>
        <v>4.5</v>
      </c>
      <c r="E61" s="98" t="s">
        <v>158</v>
      </c>
      <c r="F61" s="43" t="s">
        <v>307</v>
      </c>
      <c r="G61" s="43"/>
      <c r="H61" s="70"/>
      <c r="I61" s="70"/>
      <c r="J61" s="70"/>
      <c r="K61" s="70"/>
      <c r="L61" s="70"/>
      <c r="M61" s="87"/>
    </row>
    <row r="62" spans="2:13" hidden="1" x14ac:dyDescent="0.25">
      <c r="B62" s="173" t="s">
        <v>65</v>
      </c>
      <c r="C62" s="174"/>
      <c r="D62" s="174"/>
      <c r="E62" s="174"/>
      <c r="F62" s="174"/>
      <c r="G62" s="174"/>
      <c r="H62" s="174"/>
      <c r="I62" s="174"/>
      <c r="J62" s="174"/>
      <c r="K62" s="174"/>
      <c r="L62" s="174"/>
      <c r="M62" s="175"/>
    </row>
    <row r="63" spans="2:13" s="47" customFormat="1" hidden="1" x14ac:dyDescent="0.25">
      <c r="B63" s="44" t="s">
        <v>39</v>
      </c>
      <c r="C63" s="45" t="s">
        <v>40</v>
      </c>
      <c r="D63" s="45" t="s">
        <v>41</v>
      </c>
      <c r="E63" s="31" t="s">
        <v>42</v>
      </c>
      <c r="F63" s="32" t="s">
        <v>43</v>
      </c>
      <c r="G63" s="32" t="s">
        <v>46</v>
      </c>
      <c r="H63" s="33" t="s">
        <v>47</v>
      </c>
      <c r="I63" s="33" t="s">
        <v>48</v>
      </c>
      <c r="J63" s="33" t="s">
        <v>49</v>
      </c>
      <c r="K63" s="33" t="s">
        <v>50</v>
      </c>
      <c r="L63" s="33" t="s">
        <v>51</v>
      </c>
      <c r="M63" s="34" t="s">
        <v>52</v>
      </c>
    </row>
    <row r="64" spans="2:13" s="47" customFormat="1" hidden="1" x14ac:dyDescent="0.25">
      <c r="B64" s="44" t="str">
        <f>CONCATENATE("4.",Prüfkriterien_4[[#This Row],[Spalte2]])</f>
        <v>4.1</v>
      </c>
      <c r="C64" s="45">
        <f>ROW()-ROW(Prüfkriterien_4[[#Headers],[Spalte3]])</f>
        <v>1</v>
      </c>
      <c r="D64" s="45">
        <f>(Prüfkriterien_4[Spalte2]+40)/10</f>
        <v>4.0999999999999996</v>
      </c>
      <c r="E64" s="31"/>
      <c r="F64" s="32"/>
      <c r="G64" s="32"/>
      <c r="H64" s="70"/>
      <c r="I64" s="70"/>
      <c r="J64" s="70"/>
      <c r="K64" s="70"/>
      <c r="L64" s="70"/>
      <c r="M64" s="49"/>
    </row>
    <row r="65" spans="2:13" s="47" customFormat="1" hidden="1" x14ac:dyDescent="0.25">
      <c r="B65" s="56" t="str">
        <f>CONCATENATE("4.",Prüfkriterien_4[[#This Row],[Spalte2]])</f>
        <v>4.2</v>
      </c>
      <c r="C65" s="57">
        <f>ROW()-ROW(Prüfkriterien_4[[#Headers],[Spalte3]])</f>
        <v>2</v>
      </c>
      <c r="D65" s="57">
        <f>(Prüfkriterien_4[Spalte2]+40)/10</f>
        <v>4.2</v>
      </c>
      <c r="E65" s="58"/>
      <c r="F65" s="59"/>
      <c r="G65" s="59"/>
      <c r="H65" s="70"/>
      <c r="I65" s="70"/>
      <c r="J65" s="70"/>
      <c r="K65" s="70"/>
      <c r="L65" s="70"/>
      <c r="M65" s="87"/>
    </row>
    <row r="66" spans="2:13" s="47" customFormat="1" hidden="1" x14ac:dyDescent="0.25">
      <c r="B66" s="56" t="str">
        <f>CONCATENATE("4.",Prüfkriterien_4[[#This Row],[Spalte2]])</f>
        <v>4.3</v>
      </c>
      <c r="C66" s="57">
        <f>ROW()-ROW(Prüfkriterien_4[[#Headers],[Spalte3]])</f>
        <v>3</v>
      </c>
      <c r="D66" s="57">
        <f>(Prüfkriterien_4[Spalte2]+40)/10</f>
        <v>4.3</v>
      </c>
      <c r="E66" s="58"/>
      <c r="F66" s="59"/>
      <c r="G66" s="59"/>
      <c r="H66" s="70"/>
      <c r="I66" s="70"/>
      <c r="J66" s="70"/>
      <c r="K66" s="70"/>
      <c r="L66" s="70"/>
      <c r="M66" s="87"/>
    </row>
    <row r="67" spans="2:13" s="47" customFormat="1" hidden="1" x14ac:dyDescent="0.25">
      <c r="B67" s="56" t="str">
        <f>CONCATENATE("4.",Prüfkriterien_4[[#This Row],[Spalte2]])</f>
        <v>4.4</v>
      </c>
      <c r="C67" s="57">
        <f>ROW()-ROW(Prüfkriterien_4[[#Headers],[Spalte3]])</f>
        <v>4</v>
      </c>
      <c r="D67" s="57">
        <f>(Prüfkriterien_4[Spalte2]+40)/10</f>
        <v>4.4000000000000004</v>
      </c>
      <c r="E67" s="58"/>
      <c r="F67" s="59"/>
      <c r="G67" s="59"/>
      <c r="H67" s="70"/>
      <c r="I67" s="70"/>
      <c r="J67" s="70"/>
      <c r="K67" s="70"/>
      <c r="L67" s="70"/>
      <c r="M67" s="87"/>
    </row>
    <row r="68" spans="2:13" s="47" customFormat="1" hidden="1" x14ac:dyDescent="0.25">
      <c r="B68" s="56" t="str">
        <f>CONCATENATE("4.",Prüfkriterien_4[[#This Row],[Spalte2]])</f>
        <v>4.5</v>
      </c>
      <c r="C68" s="57">
        <f>ROW()-ROW(Prüfkriterien_4[[#Headers],[Spalte3]])</f>
        <v>5</v>
      </c>
      <c r="D68" s="57">
        <f>(Prüfkriterien_4[Spalte2]+40)/10</f>
        <v>4.5</v>
      </c>
      <c r="E68" s="58"/>
      <c r="F68" s="59"/>
      <c r="G68" s="59"/>
      <c r="H68" s="70"/>
      <c r="I68" s="70"/>
      <c r="J68" s="70"/>
      <c r="K68" s="70"/>
      <c r="L68" s="70"/>
      <c r="M68" s="87"/>
    </row>
    <row r="69" spans="2:13" hidden="1" x14ac:dyDescent="0.25">
      <c r="B69" s="173" t="s">
        <v>66</v>
      </c>
      <c r="C69" s="174"/>
      <c r="D69" s="174"/>
      <c r="E69" s="174"/>
      <c r="F69" s="174"/>
      <c r="G69" s="174"/>
      <c r="H69" s="174"/>
      <c r="I69" s="174"/>
      <c r="J69" s="174"/>
      <c r="K69" s="174"/>
      <c r="L69" s="174"/>
      <c r="M69" s="175"/>
    </row>
    <row r="70" spans="2:13" s="47" customFormat="1" hidden="1" x14ac:dyDescent="0.25">
      <c r="B70" s="44" t="s">
        <v>39</v>
      </c>
      <c r="C70" s="45" t="s">
        <v>40</v>
      </c>
      <c r="D70" s="45" t="s">
        <v>41</v>
      </c>
      <c r="E70" s="31" t="s">
        <v>42</v>
      </c>
      <c r="F70" s="32" t="s">
        <v>43</v>
      </c>
      <c r="G70" s="32" t="s">
        <v>46</v>
      </c>
      <c r="H70" s="33" t="s">
        <v>47</v>
      </c>
      <c r="I70" s="33" t="s">
        <v>48</v>
      </c>
      <c r="J70" s="33" t="s">
        <v>49</v>
      </c>
      <c r="K70" s="33" t="s">
        <v>50</v>
      </c>
      <c r="L70" s="33" t="s">
        <v>51</v>
      </c>
      <c r="M70" s="34" t="s">
        <v>52</v>
      </c>
    </row>
    <row r="71" spans="2:13" s="47" customFormat="1" hidden="1" x14ac:dyDescent="0.25">
      <c r="B71" s="44" t="str">
        <f>CONCATENATE("5.",Prüfkriterien_5[[#This Row],[Spalte2]])</f>
        <v>5.1</v>
      </c>
      <c r="C71" s="45">
        <f>ROW()-ROW(Prüfkriterien_5[[#Headers],[Spalte3]])</f>
        <v>1</v>
      </c>
      <c r="D71" s="45">
        <f>(Prüfkriterien_5[Spalte2]+50)/10</f>
        <v>5.0999999999999996</v>
      </c>
      <c r="E71" s="31"/>
      <c r="F71" s="32"/>
      <c r="G71" s="32"/>
      <c r="H71" s="70"/>
      <c r="I71" s="70"/>
      <c r="J71" s="70"/>
      <c r="K71" s="70"/>
      <c r="L71" s="70"/>
      <c r="M71" s="49"/>
    </row>
    <row r="72" spans="2:13" s="47" customFormat="1" hidden="1" x14ac:dyDescent="0.25">
      <c r="B72" s="56" t="str">
        <f>CONCATENATE("5.",Prüfkriterien_5[[#This Row],[Spalte2]])</f>
        <v>5.2</v>
      </c>
      <c r="C72" s="57">
        <f>ROW()-ROW(Prüfkriterien_5[[#Headers],[Spalte3]])</f>
        <v>2</v>
      </c>
      <c r="D72" s="57">
        <f>(Prüfkriterien_5[Spalte2]+50)/10</f>
        <v>5.2</v>
      </c>
      <c r="E72" s="58"/>
      <c r="F72" s="59"/>
      <c r="G72" s="59"/>
      <c r="H72" s="70"/>
      <c r="I72" s="70"/>
      <c r="J72" s="70"/>
      <c r="K72" s="70"/>
      <c r="L72" s="70"/>
      <c r="M72" s="87"/>
    </row>
    <row r="73" spans="2:13" s="47" customFormat="1" hidden="1" x14ac:dyDescent="0.25">
      <c r="B73" s="44" t="str">
        <f>CONCATENATE("5.",Prüfkriterien_5[[#This Row],[Spalte2]])</f>
        <v>5.3</v>
      </c>
      <c r="C73" s="45">
        <f>ROW()-ROW(Prüfkriterien_5[[#Headers],[Spalte3]])</f>
        <v>3</v>
      </c>
      <c r="D73" s="45">
        <f>(Prüfkriterien_5[Spalte2]+50)/10</f>
        <v>5.3</v>
      </c>
      <c r="E73" s="31"/>
      <c r="F73" s="32"/>
      <c r="G73" s="32"/>
      <c r="H73" s="70"/>
      <c r="I73" s="70"/>
      <c r="J73" s="70"/>
      <c r="K73" s="70"/>
      <c r="L73" s="70"/>
      <c r="M73" s="49"/>
    </row>
    <row r="74" spans="2:13" s="47" customFormat="1" hidden="1" x14ac:dyDescent="0.25">
      <c r="B74" s="44" t="str">
        <f>CONCATENATE("5.",Prüfkriterien_5[[#This Row],[Spalte2]])</f>
        <v>5.4</v>
      </c>
      <c r="C74" s="45">
        <f>ROW()-ROW(Prüfkriterien_5[[#Headers],[Spalte3]])</f>
        <v>4</v>
      </c>
      <c r="D74" s="45">
        <f>(Prüfkriterien_5[Spalte2]+50)/10</f>
        <v>5.4</v>
      </c>
      <c r="E74" s="31"/>
      <c r="F74" s="32"/>
      <c r="G74" s="32"/>
      <c r="H74" s="70"/>
      <c r="I74" s="70"/>
      <c r="J74" s="70"/>
      <c r="K74" s="70"/>
      <c r="L74" s="70"/>
      <c r="M74" s="49"/>
    </row>
    <row r="75" spans="2:13" s="47" customFormat="1" hidden="1" x14ac:dyDescent="0.25">
      <c r="B75" s="56" t="str">
        <f>CONCATENATE("5.",Prüfkriterien_5[[#This Row],[Spalte2]])</f>
        <v>5.5</v>
      </c>
      <c r="C75" s="57">
        <f>ROW()-ROW(Prüfkriterien_5[[#Headers],[Spalte3]])</f>
        <v>5</v>
      </c>
      <c r="D75" s="57">
        <f>(Prüfkriterien_5[Spalte2]+50)/10</f>
        <v>5.5</v>
      </c>
      <c r="E75" s="58"/>
      <c r="F75" s="59"/>
      <c r="G75" s="59"/>
      <c r="H75" s="70"/>
      <c r="I75" s="70"/>
      <c r="J75" s="70"/>
      <c r="K75" s="70"/>
      <c r="L75" s="70"/>
      <c r="M75" s="87"/>
    </row>
    <row r="76" spans="2:13" hidden="1" x14ac:dyDescent="0.25">
      <c r="B76" s="173" t="s">
        <v>67</v>
      </c>
      <c r="C76" s="174"/>
      <c r="D76" s="174"/>
      <c r="E76" s="174"/>
      <c r="F76" s="174"/>
      <c r="G76" s="174"/>
      <c r="H76" s="174"/>
      <c r="I76" s="174"/>
      <c r="J76" s="174"/>
      <c r="K76" s="174"/>
      <c r="L76" s="174"/>
      <c r="M76" s="175"/>
    </row>
    <row r="77" spans="2:13" s="47" customFormat="1" hidden="1" x14ac:dyDescent="0.25">
      <c r="B77" s="44" t="s">
        <v>39</v>
      </c>
      <c r="C77" s="45" t="s">
        <v>40</v>
      </c>
      <c r="D77" s="45" t="s">
        <v>41</v>
      </c>
      <c r="E77" s="31" t="s">
        <v>42</v>
      </c>
      <c r="F77" s="32" t="s">
        <v>43</v>
      </c>
      <c r="G77" s="32" t="s">
        <v>46</v>
      </c>
      <c r="H77" s="33" t="s">
        <v>47</v>
      </c>
      <c r="I77" s="33" t="s">
        <v>48</v>
      </c>
      <c r="J77" s="33" t="s">
        <v>49</v>
      </c>
      <c r="K77" s="33" t="s">
        <v>50</v>
      </c>
      <c r="L77" s="33" t="s">
        <v>51</v>
      </c>
      <c r="M77" s="34" t="s">
        <v>52</v>
      </c>
    </row>
    <row r="78" spans="2:13" s="47" customFormat="1" hidden="1" x14ac:dyDescent="0.25">
      <c r="B78" s="44" t="str">
        <f>CONCATENATE("6.",Prüfkriterien_6[[#This Row],[Spalte2]])</f>
        <v>6.1</v>
      </c>
      <c r="C78" s="45">
        <f>ROW()-ROW(Prüfkriterien_6[[#Headers],[Spalte3]])</f>
        <v>1</v>
      </c>
      <c r="D78" s="45">
        <f>(Prüfkriterien_6[Spalte2]+60)/10</f>
        <v>6.1</v>
      </c>
      <c r="E78" s="31"/>
      <c r="F78" s="32"/>
      <c r="G78" s="32"/>
      <c r="H78" s="70"/>
      <c r="I78" s="70"/>
      <c r="J78" s="70"/>
      <c r="K78" s="70"/>
      <c r="L78" s="70"/>
      <c r="M78" s="49"/>
    </row>
    <row r="79" spans="2:13" s="47" customFormat="1" hidden="1" x14ac:dyDescent="0.25">
      <c r="B79" s="56" t="str">
        <f>CONCATENATE("6.",Prüfkriterien_6[[#This Row],[Spalte2]])</f>
        <v>6.2</v>
      </c>
      <c r="C79" s="57">
        <f>ROW()-ROW(Prüfkriterien_6[[#Headers],[Spalte3]])</f>
        <v>2</v>
      </c>
      <c r="D79" s="57">
        <f>(Prüfkriterien_6[Spalte2]+60)/10</f>
        <v>6.2</v>
      </c>
      <c r="E79" s="58"/>
      <c r="F79" s="59"/>
      <c r="G79" s="59"/>
      <c r="H79" s="70"/>
      <c r="I79" s="70"/>
      <c r="J79" s="70"/>
      <c r="K79" s="70"/>
      <c r="L79" s="70"/>
      <c r="M79" s="87"/>
    </row>
    <row r="80" spans="2:13" s="47" customFormat="1" hidden="1" x14ac:dyDescent="0.25">
      <c r="B80" s="44" t="str">
        <f>CONCATENATE("6.",Prüfkriterien_6[[#This Row],[Spalte2]])</f>
        <v>6.3</v>
      </c>
      <c r="C80" s="45">
        <f>ROW()-ROW(Prüfkriterien_6[[#Headers],[Spalte3]])</f>
        <v>3</v>
      </c>
      <c r="D80" s="45">
        <f>(Prüfkriterien_6[Spalte2]+60)/10</f>
        <v>6.3</v>
      </c>
      <c r="E80" s="31"/>
      <c r="F80" s="32"/>
      <c r="G80" s="32"/>
      <c r="H80" s="70"/>
      <c r="I80" s="70"/>
      <c r="J80" s="70"/>
      <c r="K80" s="70"/>
      <c r="L80" s="70"/>
      <c r="M80" s="49"/>
    </row>
    <row r="81" spans="2:13" s="47" customFormat="1" hidden="1" x14ac:dyDescent="0.25">
      <c r="B81" s="44" t="str">
        <f>CONCATENATE("6.",Prüfkriterien_6[[#This Row],[Spalte2]])</f>
        <v>6.4</v>
      </c>
      <c r="C81" s="45">
        <f>ROW()-ROW(Prüfkriterien_6[[#Headers],[Spalte3]])</f>
        <v>4</v>
      </c>
      <c r="D81" s="45">
        <f>(Prüfkriterien_6[Spalte2]+60)/10</f>
        <v>6.4</v>
      </c>
      <c r="E81" s="31"/>
      <c r="F81" s="32"/>
      <c r="G81" s="32"/>
      <c r="H81" s="70"/>
      <c r="I81" s="70"/>
      <c r="J81" s="70"/>
      <c r="K81" s="70"/>
      <c r="L81" s="70"/>
      <c r="M81" s="49"/>
    </row>
    <row r="82" spans="2:13" s="47" customFormat="1" hidden="1" x14ac:dyDescent="0.25">
      <c r="B82" s="56" t="str">
        <f>CONCATENATE("6.",Prüfkriterien_6[[#This Row],[Spalte2]])</f>
        <v>6.5</v>
      </c>
      <c r="C82" s="57">
        <f>ROW()-ROW(Prüfkriterien_6[[#Headers],[Spalte3]])</f>
        <v>5</v>
      </c>
      <c r="D82" s="57">
        <f>(Prüfkriterien_6[Spalte2]+60)/10</f>
        <v>6.5</v>
      </c>
      <c r="E82" s="58"/>
      <c r="F82" s="59"/>
      <c r="G82" s="59"/>
      <c r="H82" s="70"/>
      <c r="I82" s="70"/>
      <c r="J82" s="70"/>
      <c r="K82" s="70"/>
      <c r="L82" s="70"/>
      <c r="M82" s="87"/>
    </row>
    <row r="83" spans="2:13" hidden="1" x14ac:dyDescent="0.25">
      <c r="B83" s="173" t="s">
        <v>68</v>
      </c>
      <c r="C83" s="174"/>
      <c r="D83" s="174"/>
      <c r="E83" s="174"/>
      <c r="F83" s="174"/>
      <c r="G83" s="174"/>
      <c r="H83" s="174"/>
      <c r="I83" s="174"/>
      <c r="J83" s="174"/>
      <c r="K83" s="174"/>
      <c r="L83" s="174"/>
      <c r="M83" s="175"/>
    </row>
    <row r="84" spans="2:13" s="47" customFormat="1" hidden="1" x14ac:dyDescent="0.25">
      <c r="B84" s="44" t="s">
        <v>39</v>
      </c>
      <c r="C84" s="45" t="s">
        <v>40</v>
      </c>
      <c r="D84" s="45" t="s">
        <v>41</v>
      </c>
      <c r="E84" s="31" t="s">
        <v>42</v>
      </c>
      <c r="F84" s="32" t="s">
        <v>43</v>
      </c>
      <c r="G84" s="32" t="s">
        <v>46</v>
      </c>
      <c r="H84" s="33" t="s">
        <v>47</v>
      </c>
      <c r="I84" s="33" t="s">
        <v>48</v>
      </c>
      <c r="J84" s="33" t="s">
        <v>49</v>
      </c>
      <c r="K84" s="33" t="s">
        <v>50</v>
      </c>
      <c r="L84" s="33" t="s">
        <v>51</v>
      </c>
      <c r="M84" s="34" t="s">
        <v>52</v>
      </c>
    </row>
    <row r="85" spans="2:13" s="47" customFormat="1" hidden="1" x14ac:dyDescent="0.25">
      <c r="B85" s="44" t="str">
        <f>CONCATENATE("7.",Prüfkriterien_7[[#This Row],[Spalte2]])</f>
        <v>7.1</v>
      </c>
      <c r="C85" s="45">
        <f>ROW()-ROW(Prüfkriterien_7[[#Headers],[Spalte3]])</f>
        <v>1</v>
      </c>
      <c r="D85" s="45">
        <f>(Prüfkriterien_7[Spalte2]+70)/10</f>
        <v>7.1</v>
      </c>
      <c r="E85" s="31"/>
      <c r="F85" s="32"/>
      <c r="G85" s="32"/>
      <c r="H85" s="70"/>
      <c r="I85" s="70"/>
      <c r="J85" s="70"/>
      <c r="K85" s="70"/>
      <c r="L85" s="70"/>
      <c r="M85" s="49"/>
    </row>
    <row r="86" spans="2:13" s="47" customFormat="1" hidden="1" x14ac:dyDescent="0.25">
      <c r="B86" s="56" t="str">
        <f>CONCATENATE("7.",Prüfkriterien_7[[#This Row],[Spalte2]])</f>
        <v>7.2</v>
      </c>
      <c r="C86" s="57">
        <f>ROW()-ROW(Prüfkriterien_7[[#Headers],[Spalte3]])</f>
        <v>2</v>
      </c>
      <c r="D86" s="57">
        <f>(Prüfkriterien_7[Spalte2]+70)/10</f>
        <v>7.2</v>
      </c>
      <c r="E86" s="58"/>
      <c r="F86" s="59"/>
      <c r="G86" s="59"/>
      <c r="H86" s="70"/>
      <c r="I86" s="70"/>
      <c r="J86" s="70"/>
      <c r="K86" s="70"/>
      <c r="L86" s="70"/>
      <c r="M86" s="87"/>
    </row>
    <row r="87" spans="2:13" s="47" customFormat="1" hidden="1" x14ac:dyDescent="0.25">
      <c r="B87" s="44" t="str">
        <f>CONCATENATE("7.",Prüfkriterien_7[[#This Row],[Spalte2]])</f>
        <v>7.3</v>
      </c>
      <c r="C87" s="45">
        <f>ROW()-ROW(Prüfkriterien_7[[#Headers],[Spalte3]])</f>
        <v>3</v>
      </c>
      <c r="D87" s="45">
        <f>(Prüfkriterien_7[Spalte2]+70)/10</f>
        <v>7.3</v>
      </c>
      <c r="E87" s="31"/>
      <c r="F87" s="32"/>
      <c r="G87" s="32"/>
      <c r="H87" s="70"/>
      <c r="I87" s="70"/>
      <c r="J87" s="70"/>
      <c r="K87" s="70"/>
      <c r="L87" s="70"/>
      <c r="M87" s="49"/>
    </row>
    <row r="88" spans="2:13" s="47" customFormat="1" hidden="1" x14ac:dyDescent="0.25">
      <c r="B88" s="44" t="str">
        <f>CONCATENATE("7.",Prüfkriterien_7[[#This Row],[Spalte2]])</f>
        <v>7.4</v>
      </c>
      <c r="C88" s="45">
        <f>ROW()-ROW(Prüfkriterien_7[[#Headers],[Spalte3]])</f>
        <v>4</v>
      </c>
      <c r="D88" s="45">
        <f>(Prüfkriterien_7[Spalte2]+70)/10</f>
        <v>7.4</v>
      </c>
      <c r="E88" s="31"/>
      <c r="F88" s="32"/>
      <c r="G88" s="32"/>
      <c r="H88" s="70"/>
      <c r="I88" s="70"/>
      <c r="J88" s="70"/>
      <c r="K88" s="70"/>
      <c r="L88" s="70"/>
      <c r="M88" s="49"/>
    </row>
    <row r="89" spans="2:13" s="47" customFormat="1" hidden="1" x14ac:dyDescent="0.25">
      <c r="B89" s="56" t="str">
        <f>CONCATENATE("7.",Prüfkriterien_7[[#This Row],[Spalte2]])</f>
        <v>7.5</v>
      </c>
      <c r="C89" s="57">
        <f>ROW()-ROW(Prüfkriterien_7[[#Headers],[Spalte3]])</f>
        <v>5</v>
      </c>
      <c r="D89" s="57">
        <f>(Prüfkriterien_7[Spalte2]+70)/10</f>
        <v>7.5</v>
      </c>
      <c r="E89" s="58"/>
      <c r="F89" s="59"/>
      <c r="G89" s="59"/>
      <c r="H89" s="70"/>
      <c r="I89" s="70"/>
      <c r="J89" s="70"/>
      <c r="K89" s="70"/>
      <c r="L89" s="70"/>
      <c r="M89" s="87"/>
    </row>
    <row r="90" spans="2:13" hidden="1" x14ac:dyDescent="0.25">
      <c r="B90" s="173" t="s">
        <v>69</v>
      </c>
      <c r="C90" s="174"/>
      <c r="D90" s="174"/>
      <c r="E90" s="174"/>
      <c r="F90" s="174"/>
      <c r="G90" s="174"/>
      <c r="H90" s="174"/>
      <c r="I90" s="174"/>
      <c r="J90" s="174"/>
      <c r="K90" s="174"/>
      <c r="L90" s="174"/>
      <c r="M90" s="175"/>
    </row>
    <row r="91" spans="2:13" s="47" customFormat="1" hidden="1" x14ac:dyDescent="0.25">
      <c r="B91" s="44" t="s">
        <v>39</v>
      </c>
      <c r="C91" s="45" t="s">
        <v>40</v>
      </c>
      <c r="D91" s="45" t="s">
        <v>41</v>
      </c>
      <c r="E91" s="31" t="s">
        <v>42</v>
      </c>
      <c r="F91" s="32" t="s">
        <v>43</v>
      </c>
      <c r="G91" s="32" t="s">
        <v>46</v>
      </c>
      <c r="H91" s="33" t="s">
        <v>47</v>
      </c>
      <c r="I91" s="33" t="s">
        <v>48</v>
      </c>
      <c r="J91" s="33" t="s">
        <v>49</v>
      </c>
      <c r="K91" s="33" t="s">
        <v>50</v>
      </c>
      <c r="L91" s="33" t="s">
        <v>51</v>
      </c>
      <c r="M91" s="34" t="s">
        <v>52</v>
      </c>
    </row>
    <row r="92" spans="2:13" s="47" customFormat="1" hidden="1" x14ac:dyDescent="0.25">
      <c r="B92" s="44" t="str">
        <f>CONCATENATE("8.",Prüfkriterien_8[[#This Row],[Spalte2]])</f>
        <v>8.1</v>
      </c>
      <c r="C92" s="45">
        <f>ROW()-ROW(Prüfkriterien_8[[#Headers],[Spalte3]])</f>
        <v>1</v>
      </c>
      <c r="D92" s="45">
        <f>(Prüfkriterien_8[Spalte2]+80)/10</f>
        <v>8.1</v>
      </c>
      <c r="E92" s="31"/>
      <c r="F92" s="32"/>
      <c r="G92" s="32"/>
      <c r="H92" s="70"/>
      <c r="I92" s="70"/>
      <c r="J92" s="70"/>
      <c r="K92" s="70"/>
      <c r="L92" s="70"/>
      <c r="M92" s="49"/>
    </row>
    <row r="93" spans="2:13" s="47" customFormat="1" hidden="1" x14ac:dyDescent="0.25">
      <c r="B93" s="56" t="str">
        <f>CONCATENATE("8.",Prüfkriterien_8[[#This Row],[Spalte2]])</f>
        <v>8.2</v>
      </c>
      <c r="C93" s="57">
        <f>ROW()-ROW(Prüfkriterien_8[[#Headers],[Spalte3]])</f>
        <v>2</v>
      </c>
      <c r="D93" s="57">
        <f>(Prüfkriterien_8[Spalte2]+80)/10</f>
        <v>8.1999999999999993</v>
      </c>
      <c r="E93" s="58"/>
      <c r="F93" s="59"/>
      <c r="G93" s="59"/>
      <c r="H93" s="70"/>
      <c r="I93" s="70"/>
      <c r="J93" s="70"/>
      <c r="K93" s="70"/>
      <c r="L93" s="70"/>
      <c r="M93" s="87"/>
    </row>
    <row r="94" spans="2:13" s="47" customFormat="1" hidden="1" x14ac:dyDescent="0.25">
      <c r="B94" s="44" t="str">
        <f>CONCATENATE("8.",Prüfkriterien_8[[#This Row],[Spalte2]])</f>
        <v>8.3</v>
      </c>
      <c r="C94" s="45">
        <f>ROW()-ROW(Prüfkriterien_8[[#Headers],[Spalte3]])</f>
        <v>3</v>
      </c>
      <c r="D94" s="45">
        <f>(Prüfkriterien_8[Spalte2]+80)/10</f>
        <v>8.3000000000000007</v>
      </c>
      <c r="E94" s="31"/>
      <c r="F94" s="32"/>
      <c r="G94" s="32"/>
      <c r="H94" s="70"/>
      <c r="I94" s="70"/>
      <c r="J94" s="70"/>
      <c r="K94" s="70"/>
      <c r="L94" s="70"/>
      <c r="M94" s="49"/>
    </row>
    <row r="95" spans="2:13" s="47" customFormat="1" hidden="1" x14ac:dyDescent="0.25">
      <c r="B95" s="44" t="str">
        <f>CONCATENATE("8.",Prüfkriterien_8[[#This Row],[Spalte2]])</f>
        <v>8.4</v>
      </c>
      <c r="C95" s="45">
        <f>ROW()-ROW(Prüfkriterien_8[[#Headers],[Spalte3]])</f>
        <v>4</v>
      </c>
      <c r="D95" s="45">
        <f>(Prüfkriterien_8[Spalte2]+80)/10</f>
        <v>8.4</v>
      </c>
      <c r="E95" s="31"/>
      <c r="F95" s="32"/>
      <c r="G95" s="32"/>
      <c r="H95" s="70"/>
      <c r="I95" s="70"/>
      <c r="J95" s="70"/>
      <c r="K95" s="70"/>
      <c r="L95" s="70"/>
      <c r="M95" s="49"/>
    </row>
    <row r="96" spans="2:13" s="47" customFormat="1" hidden="1" x14ac:dyDescent="0.25">
      <c r="B96" s="56" t="str">
        <f>CONCATENATE("8.",Prüfkriterien_8[[#This Row],[Spalte2]])</f>
        <v>8.5</v>
      </c>
      <c r="C96" s="57">
        <f>ROW()-ROW(Prüfkriterien_8[[#Headers],[Spalte3]])</f>
        <v>5</v>
      </c>
      <c r="D96" s="57">
        <f>(Prüfkriterien_8[Spalte2]+80)/10</f>
        <v>8.5</v>
      </c>
      <c r="E96" s="58"/>
      <c r="F96" s="59"/>
      <c r="G96" s="59"/>
      <c r="H96" s="70"/>
      <c r="I96" s="70"/>
      <c r="J96" s="70"/>
      <c r="K96" s="70"/>
      <c r="L96" s="70"/>
      <c r="M96" s="87"/>
    </row>
    <row r="97" spans="2:13" hidden="1" x14ac:dyDescent="0.25">
      <c r="B97" s="173" t="s">
        <v>70</v>
      </c>
      <c r="C97" s="174"/>
      <c r="D97" s="174"/>
      <c r="E97" s="174"/>
      <c r="F97" s="174"/>
      <c r="G97" s="174"/>
      <c r="H97" s="174"/>
      <c r="I97" s="174"/>
      <c r="J97" s="174"/>
      <c r="K97" s="174"/>
      <c r="L97" s="174"/>
      <c r="M97" s="175"/>
    </row>
    <row r="98" spans="2:13" s="47" customFormat="1" hidden="1" x14ac:dyDescent="0.25">
      <c r="B98" s="44" t="s">
        <v>39</v>
      </c>
      <c r="C98" s="45" t="s">
        <v>40</v>
      </c>
      <c r="D98" s="45" t="s">
        <v>41</v>
      </c>
      <c r="E98" s="31" t="s">
        <v>42</v>
      </c>
      <c r="F98" s="32" t="s">
        <v>43</v>
      </c>
      <c r="G98" s="32" t="s">
        <v>46</v>
      </c>
      <c r="H98" s="33" t="s">
        <v>47</v>
      </c>
      <c r="I98" s="33" t="s">
        <v>48</v>
      </c>
      <c r="J98" s="33" t="s">
        <v>49</v>
      </c>
      <c r="K98" s="33" t="s">
        <v>50</v>
      </c>
      <c r="L98" s="33" t="s">
        <v>51</v>
      </c>
      <c r="M98" s="34" t="s">
        <v>52</v>
      </c>
    </row>
    <row r="99" spans="2:13" s="47" customFormat="1" hidden="1" x14ac:dyDescent="0.25">
      <c r="B99" s="44" t="str">
        <f>CONCATENATE("9.",Prüfkriterien_9[[#This Row],[Spalte2]])</f>
        <v>9.1</v>
      </c>
      <c r="C99" s="45">
        <f>ROW()-ROW(Prüfkriterien_9[[#Headers],[Spalte3]])</f>
        <v>1</v>
      </c>
      <c r="D99" s="45">
        <f>(Prüfkriterien_9[Spalte2]+90)/10</f>
        <v>9.1</v>
      </c>
      <c r="E99" s="31"/>
      <c r="F99" s="32"/>
      <c r="G99" s="32"/>
      <c r="H99" s="70"/>
      <c r="I99" s="70"/>
      <c r="J99" s="70"/>
      <c r="K99" s="70"/>
      <c r="L99" s="70"/>
      <c r="M99" s="49"/>
    </row>
    <row r="100" spans="2:13" s="47" customFormat="1" hidden="1" x14ac:dyDescent="0.25">
      <c r="B100" s="56" t="str">
        <f>CONCATENATE("9.",Prüfkriterien_9[[#This Row],[Spalte2]])</f>
        <v>9.2</v>
      </c>
      <c r="C100" s="57">
        <f>ROW()-ROW(Prüfkriterien_9[[#Headers],[Spalte3]])</f>
        <v>2</v>
      </c>
      <c r="D100" s="57">
        <f>(Prüfkriterien_9[Spalte2]+90)/10</f>
        <v>9.1999999999999993</v>
      </c>
      <c r="E100" s="58"/>
      <c r="F100" s="59"/>
      <c r="G100" s="59"/>
      <c r="H100" s="70"/>
      <c r="I100" s="70"/>
      <c r="J100" s="70"/>
      <c r="K100" s="70"/>
      <c r="L100" s="70"/>
      <c r="M100" s="87"/>
    </row>
    <row r="101" spans="2:13" s="47" customFormat="1" hidden="1" x14ac:dyDescent="0.25">
      <c r="B101" s="44" t="str">
        <f>CONCATENATE("9.",Prüfkriterien_9[[#This Row],[Spalte2]])</f>
        <v>9.3</v>
      </c>
      <c r="C101" s="45">
        <f>ROW()-ROW(Prüfkriterien_9[[#Headers],[Spalte3]])</f>
        <v>3</v>
      </c>
      <c r="D101" s="45">
        <f>(Prüfkriterien_9[Spalte2]+90)/10</f>
        <v>9.3000000000000007</v>
      </c>
      <c r="E101" s="31"/>
      <c r="F101" s="32"/>
      <c r="G101" s="32"/>
      <c r="H101" s="70"/>
      <c r="I101" s="70"/>
      <c r="J101" s="70"/>
      <c r="K101" s="70"/>
      <c r="L101" s="70"/>
      <c r="M101" s="49"/>
    </row>
    <row r="102" spans="2:13" s="47" customFormat="1" hidden="1" x14ac:dyDescent="0.25">
      <c r="B102" s="44" t="str">
        <f>CONCATENATE("9.",Prüfkriterien_9[[#This Row],[Spalte2]])</f>
        <v>9.4</v>
      </c>
      <c r="C102" s="45">
        <f>ROW()-ROW(Prüfkriterien_9[[#Headers],[Spalte3]])</f>
        <v>4</v>
      </c>
      <c r="D102" s="45">
        <f>(Prüfkriterien_9[Spalte2]+90)/10</f>
        <v>9.4</v>
      </c>
      <c r="E102" s="31"/>
      <c r="F102" s="32"/>
      <c r="G102" s="32"/>
      <c r="H102" s="70"/>
      <c r="I102" s="70"/>
      <c r="J102" s="70"/>
      <c r="K102" s="70"/>
      <c r="L102" s="70"/>
      <c r="M102" s="49"/>
    </row>
    <row r="103" spans="2:13" s="47" customFormat="1" hidden="1" x14ac:dyDescent="0.25">
      <c r="B103" s="56" t="str">
        <f>CONCATENATE("9.",Prüfkriterien_9[[#This Row],[Spalte2]])</f>
        <v>9.5</v>
      </c>
      <c r="C103" s="57">
        <f>ROW()-ROW(Prüfkriterien_9[[#Headers],[Spalte3]])</f>
        <v>5</v>
      </c>
      <c r="D103" s="57">
        <f>(Prüfkriterien_9[Spalte2]+90)/10</f>
        <v>9.5</v>
      </c>
      <c r="E103" s="58"/>
      <c r="F103" s="59"/>
      <c r="G103" s="59"/>
      <c r="H103" s="70"/>
      <c r="I103" s="70"/>
      <c r="J103" s="70"/>
      <c r="K103" s="70"/>
      <c r="L103" s="70"/>
      <c r="M103" s="87"/>
    </row>
    <row r="104" spans="2:13" hidden="1" x14ac:dyDescent="0.25">
      <c r="B104" s="173" t="s">
        <v>71</v>
      </c>
      <c r="C104" s="174"/>
      <c r="D104" s="174"/>
      <c r="E104" s="174"/>
      <c r="F104" s="174"/>
      <c r="G104" s="174"/>
      <c r="H104" s="174"/>
      <c r="I104" s="174"/>
      <c r="J104" s="174"/>
      <c r="K104" s="174"/>
      <c r="L104" s="174"/>
      <c r="M104" s="175"/>
    </row>
    <row r="105" spans="2:13" s="47" customFormat="1" hidden="1" x14ac:dyDescent="0.25">
      <c r="B105" s="44" t="s">
        <v>39</v>
      </c>
      <c r="C105" s="45" t="s">
        <v>40</v>
      </c>
      <c r="D105" s="45" t="s">
        <v>41</v>
      </c>
      <c r="E105" s="31" t="s">
        <v>42</v>
      </c>
      <c r="F105" s="32" t="s">
        <v>43</v>
      </c>
      <c r="G105" s="32" t="s">
        <v>46</v>
      </c>
      <c r="H105" s="33" t="s">
        <v>47</v>
      </c>
      <c r="I105" s="33" t="s">
        <v>48</v>
      </c>
      <c r="J105" s="33" t="s">
        <v>49</v>
      </c>
      <c r="K105" s="33" t="s">
        <v>50</v>
      </c>
      <c r="L105" s="33" t="s">
        <v>51</v>
      </c>
      <c r="M105" s="34" t="s">
        <v>52</v>
      </c>
    </row>
    <row r="106" spans="2:13" s="47" customFormat="1" hidden="1" x14ac:dyDescent="0.25">
      <c r="B106" s="44" t="str">
        <f>CONCATENATE("10.",Prüfkriterien_10[[#This Row],[Spalte2]])</f>
        <v>10.1</v>
      </c>
      <c r="C106" s="45">
        <f>ROW()-ROW(Prüfkriterien_10[[#Headers],[Spalte3]])</f>
        <v>1</v>
      </c>
      <c r="D106" s="45">
        <f>(Prüfkriterien_10[Spalte2]+100)/10</f>
        <v>10.1</v>
      </c>
      <c r="E106" s="31"/>
      <c r="F106" s="32"/>
      <c r="G106" s="32"/>
      <c r="H106" s="70"/>
      <c r="I106" s="70"/>
      <c r="J106" s="70"/>
      <c r="K106" s="70"/>
      <c r="L106" s="70"/>
      <c r="M106" s="49"/>
    </row>
    <row r="107" spans="2:13" s="47" customFormat="1" hidden="1" x14ac:dyDescent="0.25">
      <c r="B107" s="56" t="str">
        <f>CONCATENATE("10.",Prüfkriterien_10[[#This Row],[Spalte2]])</f>
        <v>10.2</v>
      </c>
      <c r="C107" s="57">
        <f>ROW()-ROW(Prüfkriterien_10[[#Headers],[Spalte3]])</f>
        <v>2</v>
      </c>
      <c r="D107" s="57">
        <f>(Prüfkriterien_10[Spalte2]+100)/10</f>
        <v>10.199999999999999</v>
      </c>
      <c r="E107" s="58"/>
      <c r="F107" s="59"/>
      <c r="G107" s="59"/>
      <c r="H107" s="70"/>
      <c r="I107" s="70"/>
      <c r="J107" s="70"/>
      <c r="K107" s="70"/>
      <c r="L107" s="70"/>
      <c r="M107" s="87"/>
    </row>
    <row r="108" spans="2:13" s="47" customFormat="1" hidden="1" x14ac:dyDescent="0.25">
      <c r="B108" s="44" t="str">
        <f>CONCATENATE("10.",Prüfkriterien_10[[#This Row],[Spalte2]])</f>
        <v>10.3</v>
      </c>
      <c r="C108" s="45">
        <f>ROW()-ROW(Prüfkriterien_10[[#Headers],[Spalte3]])</f>
        <v>3</v>
      </c>
      <c r="D108" s="45">
        <f>(Prüfkriterien_10[Spalte2]+100)/10</f>
        <v>10.3</v>
      </c>
      <c r="E108" s="31"/>
      <c r="F108" s="32"/>
      <c r="G108" s="32"/>
      <c r="H108" s="70"/>
      <c r="I108" s="70"/>
      <c r="J108" s="70"/>
      <c r="K108" s="70"/>
      <c r="L108" s="70"/>
      <c r="M108" s="49"/>
    </row>
    <row r="109" spans="2:13" s="47" customFormat="1" hidden="1" x14ac:dyDescent="0.25">
      <c r="B109" s="44" t="str">
        <f>CONCATENATE("10.",Prüfkriterien_10[[#This Row],[Spalte2]])</f>
        <v>10.4</v>
      </c>
      <c r="C109" s="45">
        <f>ROW()-ROW(Prüfkriterien_10[[#Headers],[Spalte3]])</f>
        <v>4</v>
      </c>
      <c r="D109" s="45">
        <f>(Prüfkriterien_10[Spalte2]+100)/10</f>
        <v>10.4</v>
      </c>
      <c r="E109" s="31"/>
      <c r="F109" s="32"/>
      <c r="G109" s="32"/>
      <c r="H109" s="70"/>
      <c r="I109" s="70"/>
      <c r="J109" s="70"/>
      <c r="K109" s="70"/>
      <c r="L109" s="70"/>
      <c r="M109" s="49"/>
    </row>
    <row r="110" spans="2:13" s="47" customFormat="1" hidden="1" x14ac:dyDescent="0.25">
      <c r="B110" s="56" t="str">
        <f>CONCATENATE("10.",Prüfkriterien_10[[#This Row],[Spalte2]])</f>
        <v>10.5</v>
      </c>
      <c r="C110" s="57">
        <f>ROW()-ROW(Prüfkriterien_10[[#Headers],[Spalte3]])</f>
        <v>5</v>
      </c>
      <c r="D110" s="57">
        <f>(Prüfkriterien_10[Spalte2]+100)/10</f>
        <v>10.5</v>
      </c>
      <c r="E110" s="58"/>
      <c r="F110" s="59"/>
      <c r="G110" s="59"/>
      <c r="H110" s="70"/>
      <c r="I110" s="70"/>
      <c r="J110" s="70"/>
      <c r="K110" s="70"/>
      <c r="L110" s="70"/>
      <c r="M110" s="87"/>
    </row>
    <row r="111" spans="2:13" hidden="1" x14ac:dyDescent="0.25">
      <c r="B111" s="173" t="s">
        <v>72</v>
      </c>
      <c r="C111" s="174"/>
      <c r="D111" s="174"/>
      <c r="E111" s="174"/>
      <c r="F111" s="174"/>
      <c r="G111" s="174"/>
      <c r="H111" s="174"/>
      <c r="I111" s="174"/>
      <c r="J111" s="174"/>
      <c r="K111" s="174"/>
      <c r="L111" s="174"/>
      <c r="M111" s="175"/>
    </row>
    <row r="112" spans="2:13" s="47" customFormat="1" hidden="1" x14ac:dyDescent="0.25">
      <c r="B112" s="44" t="s">
        <v>39</v>
      </c>
      <c r="C112" s="45" t="s">
        <v>40</v>
      </c>
      <c r="D112" s="45" t="s">
        <v>41</v>
      </c>
      <c r="E112" s="31" t="s">
        <v>42</v>
      </c>
      <c r="F112" s="32" t="s">
        <v>43</v>
      </c>
      <c r="G112" s="32" t="s">
        <v>46</v>
      </c>
      <c r="H112" s="33" t="s">
        <v>47</v>
      </c>
      <c r="I112" s="33" t="s">
        <v>48</v>
      </c>
      <c r="J112" s="33" t="s">
        <v>49</v>
      </c>
      <c r="K112" s="33" t="s">
        <v>50</v>
      </c>
      <c r="L112" s="33" t="s">
        <v>51</v>
      </c>
      <c r="M112" s="34" t="s">
        <v>52</v>
      </c>
    </row>
    <row r="113" spans="2:13" s="47" customFormat="1" hidden="1" x14ac:dyDescent="0.25">
      <c r="B113" s="44" t="str">
        <f>CONCATENATE("11.",Prüfkriterien_11[[#This Row],[Spalte2]])</f>
        <v>11.1</v>
      </c>
      <c r="C113" s="45">
        <f>ROW()-ROW(Prüfkriterien_11[[#Headers],[Spalte3]])</f>
        <v>1</v>
      </c>
      <c r="D113" s="45">
        <f>(Prüfkriterien_11[Spalte2]+110)/10</f>
        <v>11.1</v>
      </c>
      <c r="E113" s="31"/>
      <c r="F113" s="32"/>
      <c r="G113" s="32"/>
      <c r="H113" s="70"/>
      <c r="I113" s="70"/>
      <c r="J113" s="70"/>
      <c r="K113" s="70"/>
      <c r="L113" s="70"/>
      <c r="M113" s="49"/>
    </row>
    <row r="114" spans="2:13" s="47" customFormat="1" hidden="1" x14ac:dyDescent="0.25">
      <c r="B114" s="56" t="str">
        <f>CONCATENATE("11.",Prüfkriterien_11[[#This Row],[Spalte2]])</f>
        <v>11.2</v>
      </c>
      <c r="C114" s="57">
        <f>ROW()-ROW(Prüfkriterien_11[[#Headers],[Spalte3]])</f>
        <v>2</v>
      </c>
      <c r="D114" s="57">
        <f>(Prüfkriterien_11[Spalte2]+110)/10</f>
        <v>11.2</v>
      </c>
      <c r="E114" s="58"/>
      <c r="F114" s="59"/>
      <c r="G114" s="59"/>
      <c r="H114" s="70"/>
      <c r="I114" s="70"/>
      <c r="J114" s="70"/>
      <c r="K114" s="70"/>
      <c r="L114" s="70"/>
      <c r="M114" s="87"/>
    </row>
    <row r="115" spans="2:13" s="47" customFormat="1" hidden="1" x14ac:dyDescent="0.25">
      <c r="B115" s="44" t="str">
        <f>CONCATENATE("11.",Prüfkriterien_11[[#This Row],[Spalte2]])</f>
        <v>11.3</v>
      </c>
      <c r="C115" s="45">
        <f>ROW()-ROW(Prüfkriterien_11[[#Headers],[Spalte3]])</f>
        <v>3</v>
      </c>
      <c r="D115" s="45">
        <f>(Prüfkriterien_11[Spalte2]+110)/10</f>
        <v>11.3</v>
      </c>
      <c r="E115" s="31"/>
      <c r="F115" s="32"/>
      <c r="G115" s="32"/>
      <c r="H115" s="70"/>
      <c r="I115" s="70"/>
      <c r="J115" s="70"/>
      <c r="K115" s="70"/>
      <c r="L115" s="70"/>
      <c r="M115" s="49"/>
    </row>
    <row r="116" spans="2:13" s="47" customFormat="1" hidden="1" x14ac:dyDescent="0.25">
      <c r="B116" s="44" t="str">
        <f>CONCATENATE("11.",Prüfkriterien_11[[#This Row],[Spalte2]])</f>
        <v>11.4</v>
      </c>
      <c r="C116" s="45">
        <f>ROW()-ROW(Prüfkriterien_11[[#Headers],[Spalte3]])</f>
        <v>4</v>
      </c>
      <c r="D116" s="45">
        <f>(Prüfkriterien_11[Spalte2]+110)/10</f>
        <v>11.4</v>
      </c>
      <c r="E116" s="31"/>
      <c r="F116" s="32"/>
      <c r="G116" s="32"/>
      <c r="H116" s="70"/>
      <c r="I116" s="70"/>
      <c r="J116" s="70"/>
      <c r="K116" s="70"/>
      <c r="L116" s="70"/>
      <c r="M116" s="49"/>
    </row>
    <row r="117" spans="2:13" s="47" customFormat="1" hidden="1" x14ac:dyDescent="0.25">
      <c r="B117" s="56" t="str">
        <f>CONCATENATE("11.",Prüfkriterien_11[[#This Row],[Spalte2]])</f>
        <v>11.5</v>
      </c>
      <c r="C117" s="57">
        <f>ROW()-ROW(Prüfkriterien_11[[#Headers],[Spalte3]])</f>
        <v>5</v>
      </c>
      <c r="D117" s="57">
        <f>(Prüfkriterien_11[Spalte2]+110)/10</f>
        <v>11.5</v>
      </c>
      <c r="E117" s="58"/>
      <c r="F117" s="59"/>
      <c r="G117" s="59"/>
      <c r="H117" s="70"/>
      <c r="I117" s="70"/>
      <c r="J117" s="70"/>
      <c r="K117" s="70"/>
      <c r="L117" s="70"/>
      <c r="M117" s="87"/>
    </row>
    <row r="118" spans="2:13" hidden="1" x14ac:dyDescent="0.25">
      <c r="B118" s="173" t="s">
        <v>88</v>
      </c>
      <c r="C118" s="174"/>
      <c r="D118" s="174"/>
      <c r="E118" s="174"/>
      <c r="F118" s="174"/>
      <c r="G118" s="174"/>
      <c r="H118" s="174"/>
      <c r="I118" s="174"/>
      <c r="J118" s="174"/>
      <c r="K118" s="174"/>
      <c r="L118" s="174"/>
      <c r="M118" s="175"/>
    </row>
    <row r="119" spans="2:13" hidden="1" x14ac:dyDescent="0.25">
      <c r="B119" s="44" t="s">
        <v>39</v>
      </c>
      <c r="C119" s="45" t="s">
        <v>40</v>
      </c>
      <c r="D119" s="45" t="s">
        <v>41</v>
      </c>
      <c r="E119" s="31" t="s">
        <v>42</v>
      </c>
      <c r="F119" s="32" t="s">
        <v>43</v>
      </c>
      <c r="G119" s="32" t="s">
        <v>46</v>
      </c>
      <c r="H119" s="33" t="s">
        <v>47</v>
      </c>
      <c r="I119" s="33" t="s">
        <v>48</v>
      </c>
      <c r="J119" s="33" t="s">
        <v>49</v>
      </c>
      <c r="K119" s="33" t="s">
        <v>50</v>
      </c>
      <c r="L119" s="33" t="s">
        <v>51</v>
      </c>
      <c r="M119" s="34" t="s">
        <v>52</v>
      </c>
    </row>
    <row r="120" spans="2:13" hidden="1" x14ac:dyDescent="0.25">
      <c r="B120" s="44" t="str">
        <f>CONCATENATE("12.",Prüfkriterien_1113[[#This Row],[Spalte2]])</f>
        <v>12.1</v>
      </c>
      <c r="C120" s="45">
        <f>ROW()-ROW(Prüfkriterien_1113[[#Headers],[Spalte3]])</f>
        <v>1</v>
      </c>
      <c r="D120" s="45">
        <f>(Prüfkriterien_1113[Spalte2]+120)/10</f>
        <v>12.1</v>
      </c>
      <c r="E120" s="31"/>
      <c r="F120" s="32"/>
      <c r="G120" s="32"/>
      <c r="H120" s="70"/>
      <c r="I120" s="70"/>
      <c r="J120" s="70"/>
      <c r="K120" s="70"/>
      <c r="L120" s="70"/>
      <c r="M120" s="49"/>
    </row>
    <row r="121" spans="2:13" hidden="1" x14ac:dyDescent="0.25">
      <c r="B121" s="56" t="str">
        <f>CONCATENATE("12.",Prüfkriterien_1113[[#This Row],[Spalte2]])</f>
        <v>12.2</v>
      </c>
      <c r="C121" s="57">
        <f>ROW()-ROW(Prüfkriterien_1113[[#Headers],[Spalte3]])</f>
        <v>2</v>
      </c>
      <c r="D121" s="57">
        <f>(Prüfkriterien_1113[Spalte2]+120)/10</f>
        <v>12.2</v>
      </c>
      <c r="E121" s="58"/>
      <c r="F121" s="59"/>
      <c r="G121" s="59"/>
      <c r="H121" s="70"/>
      <c r="I121" s="70"/>
      <c r="J121" s="70"/>
      <c r="K121" s="70"/>
      <c r="L121" s="70"/>
      <c r="M121" s="87"/>
    </row>
    <row r="122" spans="2:13" hidden="1" x14ac:dyDescent="0.25">
      <c r="B122" s="44" t="str">
        <f>CONCATENATE("12.",Prüfkriterien_1113[[#This Row],[Spalte2]])</f>
        <v>12.3</v>
      </c>
      <c r="C122" s="45">
        <f>ROW()-ROW(Prüfkriterien_1113[[#Headers],[Spalte3]])</f>
        <v>3</v>
      </c>
      <c r="D122" s="45">
        <f>(Prüfkriterien_1113[Spalte2]+120)/10</f>
        <v>12.3</v>
      </c>
      <c r="E122" s="31"/>
      <c r="F122" s="32"/>
      <c r="G122" s="32"/>
      <c r="H122" s="70"/>
      <c r="I122" s="70"/>
      <c r="J122" s="70"/>
      <c r="K122" s="70"/>
      <c r="L122" s="70"/>
      <c r="M122" s="49"/>
    </row>
    <row r="123" spans="2:13" hidden="1" x14ac:dyDescent="0.25">
      <c r="B123" s="44" t="str">
        <f>CONCATENATE("12.",Prüfkriterien_1113[[#This Row],[Spalte2]])</f>
        <v>12.4</v>
      </c>
      <c r="C123" s="45">
        <f>ROW()-ROW(Prüfkriterien_1113[[#Headers],[Spalte3]])</f>
        <v>4</v>
      </c>
      <c r="D123" s="45">
        <f>(Prüfkriterien_1113[Spalte2]+120)/10</f>
        <v>12.4</v>
      </c>
      <c r="E123" s="31"/>
      <c r="F123" s="32"/>
      <c r="G123" s="32"/>
      <c r="H123" s="70"/>
      <c r="I123" s="70"/>
      <c r="J123" s="70"/>
      <c r="K123" s="70"/>
      <c r="L123" s="70"/>
      <c r="M123" s="49"/>
    </row>
    <row r="124" spans="2:13" hidden="1" x14ac:dyDescent="0.25">
      <c r="B124" s="56" t="str">
        <f>CONCATENATE("12.",Prüfkriterien_1113[[#This Row],[Spalte2]])</f>
        <v>12.5</v>
      </c>
      <c r="C124" s="57">
        <f>ROW()-ROW(Prüfkriterien_1113[[#Headers],[Spalte3]])</f>
        <v>5</v>
      </c>
      <c r="D124" s="57">
        <f>(Prüfkriterien_1113[Spalte2]+120)/10</f>
        <v>12.5</v>
      </c>
      <c r="E124" s="58"/>
      <c r="F124" s="59"/>
      <c r="G124" s="59"/>
      <c r="H124" s="70"/>
      <c r="I124" s="70"/>
      <c r="J124" s="70"/>
      <c r="K124" s="70"/>
      <c r="L124" s="70"/>
      <c r="M124" s="87"/>
    </row>
    <row r="125" spans="2:13" hidden="1" x14ac:dyDescent="0.25">
      <c r="B125" s="173" t="s">
        <v>89</v>
      </c>
      <c r="C125" s="174"/>
      <c r="D125" s="174"/>
      <c r="E125" s="174"/>
      <c r="F125" s="174"/>
      <c r="G125" s="174"/>
      <c r="H125" s="174"/>
      <c r="I125" s="174"/>
      <c r="J125" s="174"/>
      <c r="K125" s="174"/>
      <c r="L125" s="174"/>
      <c r="M125" s="175"/>
    </row>
    <row r="126" spans="2:13" hidden="1" x14ac:dyDescent="0.25">
      <c r="B126" s="44" t="s">
        <v>39</v>
      </c>
      <c r="C126" s="45" t="s">
        <v>40</v>
      </c>
      <c r="D126" s="45" t="s">
        <v>41</v>
      </c>
      <c r="E126" s="31" t="s">
        <v>42</v>
      </c>
      <c r="F126" s="32" t="s">
        <v>43</v>
      </c>
      <c r="G126" s="32" t="s">
        <v>46</v>
      </c>
      <c r="H126" s="33" t="s">
        <v>47</v>
      </c>
      <c r="I126" s="33" t="s">
        <v>48</v>
      </c>
      <c r="J126" s="33" t="s">
        <v>49</v>
      </c>
      <c r="K126" s="33" t="s">
        <v>50</v>
      </c>
      <c r="L126" s="33" t="s">
        <v>51</v>
      </c>
      <c r="M126" s="34" t="s">
        <v>52</v>
      </c>
    </row>
    <row r="127" spans="2:13" hidden="1" x14ac:dyDescent="0.25">
      <c r="B127" s="44" t="str">
        <f>CONCATENATE("13.",Prüfkriterien_1114[[#This Row],[Spalte2]])</f>
        <v>13.1</v>
      </c>
      <c r="C127" s="45">
        <f>ROW()-ROW(Prüfkriterien_1114[[#Headers],[Spalte3]])</f>
        <v>1</v>
      </c>
      <c r="D127" s="45">
        <f>(Prüfkriterien_1114[Spalte2]+130)/10</f>
        <v>13.1</v>
      </c>
      <c r="E127" s="31"/>
      <c r="F127" s="32"/>
      <c r="G127" s="32"/>
      <c r="H127" s="70"/>
      <c r="I127" s="70"/>
      <c r="J127" s="70"/>
      <c r="K127" s="70"/>
      <c r="L127" s="70"/>
      <c r="M127" s="49"/>
    </row>
    <row r="128" spans="2:13" hidden="1" x14ac:dyDescent="0.25">
      <c r="B128" s="56" t="str">
        <f>CONCATENATE("13.",Prüfkriterien_1114[[#This Row],[Spalte2]])</f>
        <v>13.2</v>
      </c>
      <c r="C128" s="57">
        <f>ROW()-ROW(Prüfkriterien_1114[[#Headers],[Spalte3]])</f>
        <v>2</v>
      </c>
      <c r="D128" s="57">
        <f>(Prüfkriterien_1114[Spalte2]+130)/10</f>
        <v>13.2</v>
      </c>
      <c r="E128" s="58"/>
      <c r="F128" s="59"/>
      <c r="G128" s="59"/>
      <c r="H128" s="70"/>
      <c r="I128" s="70"/>
      <c r="J128" s="70"/>
      <c r="K128" s="70"/>
      <c r="L128" s="70"/>
      <c r="M128" s="87"/>
    </row>
    <row r="129" spans="2:13" hidden="1" x14ac:dyDescent="0.25">
      <c r="B129" s="44" t="str">
        <f>CONCATENATE("13.",Prüfkriterien_1114[[#This Row],[Spalte2]])</f>
        <v>13.3</v>
      </c>
      <c r="C129" s="45">
        <f>ROW()-ROW(Prüfkriterien_1114[[#Headers],[Spalte3]])</f>
        <v>3</v>
      </c>
      <c r="D129" s="45">
        <f>(Prüfkriterien_1114[Spalte2]+130)/10</f>
        <v>13.3</v>
      </c>
      <c r="E129" s="31"/>
      <c r="F129" s="32"/>
      <c r="G129" s="32"/>
      <c r="H129" s="70"/>
      <c r="I129" s="70"/>
      <c r="J129" s="70"/>
      <c r="K129" s="70"/>
      <c r="L129" s="70"/>
      <c r="M129" s="49"/>
    </row>
    <row r="130" spans="2:13" hidden="1" x14ac:dyDescent="0.25">
      <c r="B130" s="44" t="str">
        <f>CONCATENATE("13.",Prüfkriterien_1114[[#This Row],[Spalte2]])</f>
        <v>13.4</v>
      </c>
      <c r="C130" s="45">
        <f>ROW()-ROW(Prüfkriterien_1114[[#Headers],[Spalte3]])</f>
        <v>4</v>
      </c>
      <c r="D130" s="45">
        <f>(Prüfkriterien_1114[Spalte2]+130)/10</f>
        <v>13.4</v>
      </c>
      <c r="E130" s="31"/>
      <c r="F130" s="32"/>
      <c r="G130" s="32"/>
      <c r="H130" s="70"/>
      <c r="I130" s="70"/>
      <c r="J130" s="70"/>
      <c r="K130" s="70"/>
      <c r="L130" s="70"/>
      <c r="M130" s="49"/>
    </row>
    <row r="131" spans="2:13" hidden="1" x14ac:dyDescent="0.25">
      <c r="B131" s="56" t="str">
        <f>CONCATENATE("13.",Prüfkriterien_1114[[#This Row],[Spalte2]])</f>
        <v>13.5</v>
      </c>
      <c r="C131" s="57">
        <f>ROW()-ROW(Prüfkriterien_1114[[#Headers],[Spalte3]])</f>
        <v>5</v>
      </c>
      <c r="D131" s="57">
        <f>(Prüfkriterien_1114[Spalte2]+130)/10</f>
        <v>13.5</v>
      </c>
      <c r="E131" s="58"/>
      <c r="F131" s="59"/>
      <c r="G131" s="59"/>
      <c r="H131" s="70"/>
      <c r="I131" s="70"/>
      <c r="J131" s="70"/>
      <c r="K131" s="70"/>
      <c r="L131" s="70"/>
      <c r="M131" s="87"/>
    </row>
    <row r="132" spans="2:13" hidden="1" x14ac:dyDescent="0.25">
      <c r="B132" s="173" t="s">
        <v>90</v>
      </c>
      <c r="C132" s="174"/>
      <c r="D132" s="174"/>
      <c r="E132" s="174"/>
      <c r="F132" s="174"/>
      <c r="G132" s="174"/>
      <c r="H132" s="174"/>
      <c r="I132" s="174"/>
      <c r="J132" s="174"/>
      <c r="K132" s="174"/>
      <c r="L132" s="174"/>
      <c r="M132" s="175"/>
    </row>
    <row r="133" spans="2:13" hidden="1" x14ac:dyDescent="0.25">
      <c r="B133" s="44" t="s">
        <v>39</v>
      </c>
      <c r="C133" s="45" t="s">
        <v>40</v>
      </c>
      <c r="D133" s="45" t="s">
        <v>41</v>
      </c>
      <c r="E133" s="31" t="s">
        <v>42</v>
      </c>
      <c r="F133" s="32" t="s">
        <v>43</v>
      </c>
      <c r="G133" s="32" t="s">
        <v>46</v>
      </c>
      <c r="H133" s="33" t="s">
        <v>47</v>
      </c>
      <c r="I133" s="33" t="s">
        <v>48</v>
      </c>
      <c r="J133" s="33" t="s">
        <v>49</v>
      </c>
      <c r="K133" s="33" t="s">
        <v>50</v>
      </c>
      <c r="L133" s="33" t="s">
        <v>51</v>
      </c>
      <c r="M133" s="34" t="s">
        <v>52</v>
      </c>
    </row>
    <row r="134" spans="2:13" hidden="1" x14ac:dyDescent="0.25">
      <c r="B134" s="44" t="str">
        <f>CONCATENATE("14.",Prüfkriterien_1115[[#This Row],[Spalte2]])</f>
        <v>14.1</v>
      </c>
      <c r="C134" s="45">
        <f>ROW()-ROW(Prüfkriterien_1115[[#Headers],[Spalte3]])</f>
        <v>1</v>
      </c>
      <c r="D134" s="45">
        <f>(Prüfkriterien_1115[Spalte2]+140)/10</f>
        <v>14.1</v>
      </c>
      <c r="E134" s="31"/>
      <c r="F134" s="32"/>
      <c r="G134" s="32"/>
      <c r="H134" s="70"/>
      <c r="I134" s="70"/>
      <c r="J134" s="70"/>
      <c r="K134" s="70"/>
      <c r="L134" s="70"/>
      <c r="M134" s="49"/>
    </row>
    <row r="135" spans="2:13" hidden="1" x14ac:dyDescent="0.25">
      <c r="B135" s="56" t="str">
        <f>CONCATENATE("14.",Prüfkriterien_1115[[#This Row],[Spalte2]])</f>
        <v>14.2</v>
      </c>
      <c r="C135" s="57">
        <f>ROW()-ROW(Prüfkriterien_1115[[#Headers],[Spalte3]])</f>
        <v>2</v>
      </c>
      <c r="D135" s="57">
        <f>(Prüfkriterien_1115[Spalte2]+140)/10</f>
        <v>14.2</v>
      </c>
      <c r="E135" s="58"/>
      <c r="F135" s="59"/>
      <c r="G135" s="59"/>
      <c r="H135" s="70"/>
      <c r="I135" s="70"/>
      <c r="J135" s="70"/>
      <c r="K135" s="70"/>
      <c r="L135" s="70"/>
      <c r="M135" s="87"/>
    </row>
    <row r="136" spans="2:13" hidden="1" x14ac:dyDescent="0.25">
      <c r="B136" s="44" t="str">
        <f>CONCATENATE("14.",Prüfkriterien_1115[[#This Row],[Spalte2]])</f>
        <v>14.3</v>
      </c>
      <c r="C136" s="45">
        <f>ROW()-ROW(Prüfkriterien_1115[[#Headers],[Spalte3]])</f>
        <v>3</v>
      </c>
      <c r="D136" s="45">
        <f>(Prüfkriterien_1115[Spalte2]+140)/10</f>
        <v>14.3</v>
      </c>
      <c r="E136" s="31"/>
      <c r="F136" s="32"/>
      <c r="G136" s="32"/>
      <c r="H136" s="70"/>
      <c r="I136" s="70"/>
      <c r="J136" s="70"/>
      <c r="K136" s="70"/>
      <c r="L136" s="70"/>
      <c r="M136" s="49"/>
    </row>
    <row r="137" spans="2:13" hidden="1" x14ac:dyDescent="0.25">
      <c r="B137" s="44" t="str">
        <f>CONCATENATE("14.",Prüfkriterien_1115[[#This Row],[Spalte2]])</f>
        <v>14.4</v>
      </c>
      <c r="C137" s="45">
        <f>ROW()-ROW(Prüfkriterien_1115[[#Headers],[Spalte3]])</f>
        <v>4</v>
      </c>
      <c r="D137" s="45">
        <f>(Prüfkriterien_1115[Spalte2]+140)/10</f>
        <v>14.4</v>
      </c>
      <c r="E137" s="31"/>
      <c r="F137" s="32"/>
      <c r="G137" s="32"/>
      <c r="H137" s="70"/>
      <c r="I137" s="70"/>
      <c r="J137" s="70"/>
      <c r="K137" s="70"/>
      <c r="L137" s="70"/>
      <c r="M137" s="49"/>
    </row>
    <row r="138" spans="2:13" hidden="1" x14ac:dyDescent="0.25">
      <c r="B138" s="56" t="str">
        <f>CONCATENATE("14.",Prüfkriterien_1115[[#This Row],[Spalte2]])</f>
        <v>14.5</v>
      </c>
      <c r="C138" s="57">
        <f>ROW()-ROW(Prüfkriterien_1115[[#Headers],[Spalte3]])</f>
        <v>5</v>
      </c>
      <c r="D138" s="57">
        <f>(Prüfkriterien_1115[Spalte2]+140)/10</f>
        <v>14.5</v>
      </c>
      <c r="E138" s="58"/>
      <c r="F138" s="59"/>
      <c r="G138" s="59"/>
      <c r="H138" s="70"/>
      <c r="I138" s="70"/>
      <c r="J138" s="70"/>
      <c r="K138" s="70"/>
      <c r="L138" s="70"/>
      <c r="M138" s="87"/>
    </row>
    <row r="139" spans="2:13" hidden="1" x14ac:dyDescent="0.25">
      <c r="B139" s="173" t="s">
        <v>91</v>
      </c>
      <c r="C139" s="174"/>
      <c r="D139" s="174"/>
      <c r="E139" s="174"/>
      <c r="F139" s="174"/>
      <c r="G139" s="174"/>
      <c r="H139" s="174"/>
      <c r="I139" s="174"/>
      <c r="J139" s="174"/>
      <c r="K139" s="174"/>
      <c r="L139" s="174"/>
      <c r="M139" s="175"/>
    </row>
    <row r="140" spans="2:13" hidden="1" x14ac:dyDescent="0.25">
      <c r="B140" s="44" t="s">
        <v>39</v>
      </c>
      <c r="C140" s="45" t="s">
        <v>40</v>
      </c>
      <c r="D140" s="45" t="s">
        <v>41</v>
      </c>
      <c r="E140" s="31" t="s">
        <v>42</v>
      </c>
      <c r="F140" s="32" t="s">
        <v>43</v>
      </c>
      <c r="G140" s="32" t="s">
        <v>46</v>
      </c>
      <c r="H140" s="33" t="s">
        <v>47</v>
      </c>
      <c r="I140" s="33" t="s">
        <v>48</v>
      </c>
      <c r="J140" s="33" t="s">
        <v>49</v>
      </c>
      <c r="K140" s="33" t="s">
        <v>50</v>
      </c>
      <c r="L140" s="33" t="s">
        <v>51</v>
      </c>
      <c r="M140" s="34" t="s">
        <v>52</v>
      </c>
    </row>
    <row r="141" spans="2:13" hidden="1" x14ac:dyDescent="0.25">
      <c r="B141" s="44" t="str">
        <f>CONCATENATE("15.",Prüfkriterien_1116[[#This Row],[Spalte2]])</f>
        <v>15.1</v>
      </c>
      <c r="C141" s="45">
        <f>ROW()-ROW(Prüfkriterien_1116[[#Headers],[Spalte3]])</f>
        <v>1</v>
      </c>
      <c r="D141" s="45">
        <f>(Prüfkriterien_1116[Spalte2]+150)/10</f>
        <v>15.1</v>
      </c>
      <c r="E141" s="31"/>
      <c r="F141" s="32"/>
      <c r="G141" s="32"/>
      <c r="H141" s="70"/>
      <c r="I141" s="70"/>
      <c r="J141" s="70"/>
      <c r="K141" s="70"/>
      <c r="L141" s="70"/>
      <c r="M141" s="49"/>
    </row>
    <row r="142" spans="2:13" hidden="1" x14ac:dyDescent="0.25">
      <c r="B142" s="56" t="str">
        <f>CONCATENATE("15.",Prüfkriterien_1116[[#This Row],[Spalte2]])</f>
        <v>15.2</v>
      </c>
      <c r="C142" s="57">
        <f>ROW()-ROW(Prüfkriterien_1116[[#Headers],[Spalte3]])</f>
        <v>2</v>
      </c>
      <c r="D142" s="57">
        <f>(Prüfkriterien_1116[Spalte2]+150)/10</f>
        <v>15.2</v>
      </c>
      <c r="E142" s="58"/>
      <c r="F142" s="59"/>
      <c r="G142" s="59"/>
      <c r="H142" s="70"/>
      <c r="I142" s="70"/>
      <c r="J142" s="70"/>
      <c r="K142" s="70"/>
      <c r="L142" s="70"/>
      <c r="M142" s="87"/>
    </row>
    <row r="143" spans="2:13" hidden="1" x14ac:dyDescent="0.25">
      <c r="B143" s="44" t="str">
        <f>CONCATENATE("15.",Prüfkriterien_1116[[#This Row],[Spalte2]])</f>
        <v>15.3</v>
      </c>
      <c r="C143" s="45">
        <f>ROW()-ROW(Prüfkriterien_1116[[#Headers],[Spalte3]])</f>
        <v>3</v>
      </c>
      <c r="D143" s="45">
        <f>(Prüfkriterien_1116[Spalte2]+150)/10</f>
        <v>15.3</v>
      </c>
      <c r="E143" s="31"/>
      <c r="F143" s="32"/>
      <c r="G143" s="32"/>
      <c r="H143" s="70"/>
      <c r="I143" s="70"/>
      <c r="J143" s="70"/>
      <c r="K143" s="70"/>
      <c r="L143" s="70"/>
      <c r="M143" s="49"/>
    </row>
    <row r="144" spans="2:13" hidden="1" x14ac:dyDescent="0.25">
      <c r="B144" s="44" t="str">
        <f>CONCATENATE("15.",Prüfkriterien_1116[[#This Row],[Spalte2]])</f>
        <v>15.4</v>
      </c>
      <c r="C144" s="45">
        <f>ROW()-ROW(Prüfkriterien_1116[[#Headers],[Spalte3]])</f>
        <v>4</v>
      </c>
      <c r="D144" s="45">
        <f>(Prüfkriterien_1116[Spalte2]+150)/10</f>
        <v>15.4</v>
      </c>
      <c r="E144" s="31"/>
      <c r="F144" s="32"/>
      <c r="G144" s="32"/>
      <c r="H144" s="70"/>
      <c r="I144" s="70"/>
      <c r="J144" s="70"/>
      <c r="K144" s="70"/>
      <c r="L144" s="70"/>
      <c r="M144" s="49"/>
    </row>
    <row r="145" spans="2:13" hidden="1" x14ac:dyDescent="0.25">
      <c r="B145" s="56" t="str">
        <f>CONCATENATE("15.",Prüfkriterien_1116[[#This Row],[Spalte2]])</f>
        <v>15.5</v>
      </c>
      <c r="C145" s="57">
        <f>ROW()-ROW(Prüfkriterien_1116[[#Headers],[Spalte3]])</f>
        <v>5</v>
      </c>
      <c r="D145" s="57">
        <f>(Prüfkriterien_1116[Spalte2]+150)/10</f>
        <v>15.5</v>
      </c>
      <c r="E145" s="58"/>
      <c r="F145" s="59"/>
      <c r="G145" s="59"/>
      <c r="H145" s="70"/>
      <c r="I145" s="70"/>
      <c r="J145" s="70"/>
      <c r="K145" s="70"/>
      <c r="L145" s="70"/>
      <c r="M145" s="87"/>
    </row>
    <row r="146" spans="2:13" hidden="1" x14ac:dyDescent="0.25">
      <c r="B146" s="173" t="s">
        <v>92</v>
      </c>
      <c r="C146" s="174"/>
      <c r="D146" s="174"/>
      <c r="E146" s="174"/>
      <c r="F146" s="174"/>
      <c r="G146" s="174"/>
      <c r="H146" s="174"/>
      <c r="I146" s="174"/>
      <c r="J146" s="174"/>
      <c r="K146" s="174"/>
      <c r="L146" s="174"/>
      <c r="M146" s="175"/>
    </row>
    <row r="147" spans="2:13" hidden="1" x14ac:dyDescent="0.25">
      <c r="B147" s="44" t="s">
        <v>39</v>
      </c>
      <c r="C147" s="45" t="s">
        <v>40</v>
      </c>
      <c r="D147" s="45" t="s">
        <v>41</v>
      </c>
      <c r="E147" s="31" t="s">
        <v>42</v>
      </c>
      <c r="F147" s="32" t="s">
        <v>43</v>
      </c>
      <c r="G147" s="32" t="s">
        <v>46</v>
      </c>
      <c r="H147" s="33" t="s">
        <v>47</v>
      </c>
      <c r="I147" s="33" t="s">
        <v>48</v>
      </c>
      <c r="J147" s="33" t="s">
        <v>49</v>
      </c>
      <c r="K147" s="33" t="s">
        <v>50</v>
      </c>
      <c r="L147" s="33" t="s">
        <v>51</v>
      </c>
      <c r="M147" s="34" t="s">
        <v>52</v>
      </c>
    </row>
    <row r="148" spans="2:13" hidden="1" x14ac:dyDescent="0.25">
      <c r="B148" s="44" t="str">
        <f>CONCATENATE("16.",Prüfkriterien_1117[[#This Row],[Spalte2]])</f>
        <v>16.1</v>
      </c>
      <c r="C148" s="45">
        <f>ROW()-ROW(Prüfkriterien_1117[[#Headers],[Spalte3]])</f>
        <v>1</v>
      </c>
      <c r="D148" s="45">
        <f>(Prüfkriterien_1117[Spalte2]+160)/10</f>
        <v>16.100000000000001</v>
      </c>
      <c r="E148" s="31"/>
      <c r="F148" s="32"/>
      <c r="G148" s="32"/>
      <c r="H148" s="70"/>
      <c r="I148" s="70"/>
      <c r="J148" s="70"/>
      <c r="K148" s="70"/>
      <c r="L148" s="70"/>
      <c r="M148" s="49"/>
    </row>
    <row r="149" spans="2:13" hidden="1" x14ac:dyDescent="0.25">
      <c r="B149" s="56" t="str">
        <f>CONCATENATE("16.",Prüfkriterien_1117[[#This Row],[Spalte2]])</f>
        <v>16.2</v>
      </c>
      <c r="C149" s="57">
        <f>ROW()-ROW(Prüfkriterien_1117[[#Headers],[Spalte3]])</f>
        <v>2</v>
      </c>
      <c r="D149" s="57">
        <f>(Prüfkriterien_1117[Spalte2]+160)/10</f>
        <v>16.2</v>
      </c>
      <c r="E149" s="58"/>
      <c r="F149" s="59"/>
      <c r="G149" s="59"/>
      <c r="H149" s="70"/>
      <c r="I149" s="70"/>
      <c r="J149" s="70"/>
      <c r="K149" s="70"/>
      <c r="L149" s="70"/>
      <c r="M149" s="87"/>
    </row>
    <row r="150" spans="2:13" hidden="1" x14ac:dyDescent="0.25">
      <c r="B150" s="44" t="str">
        <f>CONCATENATE("16.",Prüfkriterien_1117[[#This Row],[Spalte2]])</f>
        <v>16.3</v>
      </c>
      <c r="C150" s="45">
        <f>ROW()-ROW(Prüfkriterien_1117[[#Headers],[Spalte3]])</f>
        <v>3</v>
      </c>
      <c r="D150" s="45">
        <f>(Prüfkriterien_1117[Spalte2]+160)/10</f>
        <v>16.3</v>
      </c>
      <c r="E150" s="31"/>
      <c r="F150" s="32"/>
      <c r="G150" s="32"/>
      <c r="H150" s="70"/>
      <c r="I150" s="70"/>
      <c r="J150" s="70"/>
      <c r="K150" s="70"/>
      <c r="L150" s="70"/>
      <c r="M150" s="49"/>
    </row>
    <row r="151" spans="2:13" hidden="1" x14ac:dyDescent="0.25">
      <c r="B151" s="44" t="str">
        <f>CONCATENATE("16.",Prüfkriterien_1117[[#This Row],[Spalte2]])</f>
        <v>16.4</v>
      </c>
      <c r="C151" s="45">
        <f>ROW()-ROW(Prüfkriterien_1117[[#Headers],[Spalte3]])</f>
        <v>4</v>
      </c>
      <c r="D151" s="45">
        <f>(Prüfkriterien_1117[Spalte2]+160)/10</f>
        <v>16.399999999999999</v>
      </c>
      <c r="E151" s="31"/>
      <c r="F151" s="32"/>
      <c r="G151" s="32"/>
      <c r="H151" s="70"/>
      <c r="I151" s="70"/>
      <c r="J151" s="70"/>
      <c r="K151" s="70"/>
      <c r="L151" s="70"/>
      <c r="M151" s="49"/>
    </row>
    <row r="152" spans="2:13" hidden="1" x14ac:dyDescent="0.25">
      <c r="B152" s="56" t="str">
        <f>CONCATENATE("16.",Prüfkriterien_1117[[#This Row],[Spalte2]])</f>
        <v>16.5</v>
      </c>
      <c r="C152" s="57">
        <f>ROW()-ROW(Prüfkriterien_1117[[#Headers],[Spalte3]])</f>
        <v>5</v>
      </c>
      <c r="D152" s="57">
        <f>(Prüfkriterien_1117[Spalte2]+160)/10</f>
        <v>16.5</v>
      </c>
      <c r="E152" s="58"/>
      <c r="F152" s="59"/>
      <c r="G152" s="59"/>
      <c r="H152" s="70"/>
      <c r="I152" s="70"/>
      <c r="J152" s="70"/>
      <c r="K152" s="70"/>
      <c r="L152" s="70"/>
      <c r="M152" s="87"/>
    </row>
    <row r="153" spans="2:13" hidden="1" x14ac:dyDescent="0.25">
      <c r="B153" s="173" t="s">
        <v>93</v>
      </c>
      <c r="C153" s="174"/>
      <c r="D153" s="174"/>
      <c r="E153" s="174"/>
      <c r="F153" s="174"/>
      <c r="G153" s="174"/>
      <c r="H153" s="174"/>
      <c r="I153" s="174"/>
      <c r="J153" s="174"/>
      <c r="K153" s="174"/>
      <c r="L153" s="174"/>
      <c r="M153" s="175"/>
    </row>
    <row r="154" spans="2:13" hidden="1" x14ac:dyDescent="0.25">
      <c r="B154" s="44" t="s">
        <v>39</v>
      </c>
      <c r="C154" s="45" t="s">
        <v>40</v>
      </c>
      <c r="D154" s="45" t="s">
        <v>41</v>
      </c>
      <c r="E154" s="31" t="s">
        <v>42</v>
      </c>
      <c r="F154" s="32" t="s">
        <v>43</v>
      </c>
      <c r="G154" s="32" t="s">
        <v>46</v>
      </c>
      <c r="H154" s="33" t="s">
        <v>47</v>
      </c>
      <c r="I154" s="33" t="s">
        <v>48</v>
      </c>
      <c r="J154" s="33" t="s">
        <v>49</v>
      </c>
      <c r="K154" s="33" t="s">
        <v>50</v>
      </c>
      <c r="L154" s="33" t="s">
        <v>51</v>
      </c>
      <c r="M154" s="34" t="s">
        <v>52</v>
      </c>
    </row>
    <row r="155" spans="2:13" hidden="1" x14ac:dyDescent="0.25">
      <c r="B155" s="44" t="str">
        <f>CONCATENATE("17.",Prüfkriterien_1118[[#This Row],[Spalte2]])</f>
        <v>17.1</v>
      </c>
      <c r="C155" s="45">
        <f>ROW()-ROW(Prüfkriterien_1118[[#Headers],[Spalte3]])</f>
        <v>1</v>
      </c>
      <c r="D155" s="45">
        <f>(Prüfkriterien_1118[Spalte2]+170)/10</f>
        <v>17.100000000000001</v>
      </c>
      <c r="E155" s="31"/>
      <c r="F155" s="32"/>
      <c r="G155" s="32"/>
      <c r="H155" s="70"/>
      <c r="I155" s="70"/>
      <c r="J155" s="70"/>
      <c r="K155" s="70"/>
      <c r="L155" s="70"/>
      <c r="M155" s="49"/>
    </row>
    <row r="156" spans="2:13" hidden="1" x14ac:dyDescent="0.25">
      <c r="B156" s="56" t="str">
        <f>CONCATENATE("17.",Prüfkriterien_1118[[#This Row],[Spalte2]])</f>
        <v>17.2</v>
      </c>
      <c r="C156" s="57">
        <f>ROW()-ROW(Prüfkriterien_1118[[#Headers],[Spalte3]])</f>
        <v>2</v>
      </c>
      <c r="D156" s="57">
        <f>(Prüfkriterien_1118[Spalte2]+170)/10</f>
        <v>17.2</v>
      </c>
      <c r="E156" s="58"/>
      <c r="F156" s="59"/>
      <c r="G156" s="59"/>
      <c r="H156" s="70"/>
      <c r="I156" s="70"/>
      <c r="J156" s="70"/>
      <c r="K156" s="70"/>
      <c r="L156" s="70"/>
      <c r="M156" s="87"/>
    </row>
    <row r="157" spans="2:13" hidden="1" x14ac:dyDescent="0.25">
      <c r="B157" s="44" t="str">
        <f>CONCATENATE("17.",Prüfkriterien_1118[[#This Row],[Spalte2]])</f>
        <v>17.3</v>
      </c>
      <c r="C157" s="45">
        <f>ROW()-ROW(Prüfkriterien_1118[[#Headers],[Spalte3]])</f>
        <v>3</v>
      </c>
      <c r="D157" s="45">
        <f>(Prüfkriterien_1118[Spalte2]+170)/10</f>
        <v>17.3</v>
      </c>
      <c r="E157" s="31"/>
      <c r="F157" s="32"/>
      <c r="G157" s="32"/>
      <c r="H157" s="70"/>
      <c r="I157" s="70"/>
      <c r="J157" s="70"/>
      <c r="K157" s="70"/>
      <c r="L157" s="70"/>
      <c r="M157" s="49"/>
    </row>
    <row r="158" spans="2:13" hidden="1" x14ac:dyDescent="0.25">
      <c r="B158" s="44" t="str">
        <f>CONCATENATE("17.",Prüfkriterien_1118[[#This Row],[Spalte2]])</f>
        <v>17.4</v>
      </c>
      <c r="C158" s="45">
        <f>ROW()-ROW(Prüfkriterien_1118[[#Headers],[Spalte3]])</f>
        <v>4</v>
      </c>
      <c r="D158" s="45">
        <f>(Prüfkriterien_1118[Spalte2]+170)/10</f>
        <v>17.399999999999999</v>
      </c>
      <c r="E158" s="31"/>
      <c r="F158" s="32"/>
      <c r="G158" s="32"/>
      <c r="H158" s="70"/>
      <c r="I158" s="70"/>
      <c r="J158" s="70"/>
      <c r="K158" s="70"/>
      <c r="L158" s="70"/>
      <c r="M158" s="49"/>
    </row>
    <row r="159" spans="2:13" hidden="1" x14ac:dyDescent="0.25">
      <c r="B159" s="56" t="str">
        <f>CONCATENATE("17.",Prüfkriterien_1118[[#This Row],[Spalte2]])</f>
        <v>17.5</v>
      </c>
      <c r="C159" s="57">
        <f>ROW()-ROW(Prüfkriterien_1118[[#Headers],[Spalte3]])</f>
        <v>5</v>
      </c>
      <c r="D159" s="57">
        <f>(Prüfkriterien_1118[Spalte2]+170)/10</f>
        <v>17.5</v>
      </c>
      <c r="E159" s="58"/>
      <c r="F159" s="59"/>
      <c r="G159" s="59"/>
      <c r="H159" s="70"/>
      <c r="I159" s="70"/>
      <c r="J159" s="70"/>
      <c r="K159" s="70"/>
      <c r="L159" s="70"/>
      <c r="M159" s="87"/>
    </row>
    <row r="160" spans="2:13" hidden="1" x14ac:dyDescent="0.25">
      <c r="B160" s="173" t="s">
        <v>94</v>
      </c>
      <c r="C160" s="174"/>
      <c r="D160" s="174"/>
      <c r="E160" s="174"/>
      <c r="F160" s="174"/>
      <c r="G160" s="174"/>
      <c r="H160" s="174"/>
      <c r="I160" s="174"/>
      <c r="J160" s="174"/>
      <c r="K160" s="174"/>
      <c r="L160" s="174"/>
      <c r="M160" s="175"/>
    </row>
    <row r="161" spans="2:13" hidden="1" x14ac:dyDescent="0.25">
      <c r="B161" s="44" t="s">
        <v>39</v>
      </c>
      <c r="C161" s="45" t="s">
        <v>40</v>
      </c>
      <c r="D161" s="45" t="s">
        <v>41</v>
      </c>
      <c r="E161" s="31" t="s">
        <v>42</v>
      </c>
      <c r="F161" s="32" t="s">
        <v>43</v>
      </c>
      <c r="G161" s="32" t="s">
        <v>46</v>
      </c>
      <c r="H161" s="33" t="s">
        <v>47</v>
      </c>
      <c r="I161" s="33" t="s">
        <v>48</v>
      </c>
      <c r="J161" s="33" t="s">
        <v>49</v>
      </c>
      <c r="K161" s="33" t="s">
        <v>50</v>
      </c>
      <c r="L161" s="33" t="s">
        <v>51</v>
      </c>
      <c r="M161" s="34" t="s">
        <v>52</v>
      </c>
    </row>
    <row r="162" spans="2:13" hidden="1" x14ac:dyDescent="0.25">
      <c r="B162" s="44" t="str">
        <f>CONCATENATE("18.",Prüfkriterien_1119[[#This Row],[Spalte2]])</f>
        <v>18.1</v>
      </c>
      <c r="C162" s="45">
        <f>ROW()-ROW(Prüfkriterien_1119[[#Headers],[Spalte3]])</f>
        <v>1</v>
      </c>
      <c r="D162" s="45">
        <f>(Prüfkriterien_1119[Spalte2]+180)/10</f>
        <v>18.100000000000001</v>
      </c>
      <c r="E162" s="31"/>
      <c r="F162" s="32"/>
      <c r="G162" s="32"/>
      <c r="H162" s="70"/>
      <c r="I162" s="70"/>
      <c r="J162" s="70"/>
      <c r="K162" s="70"/>
      <c r="L162" s="70"/>
      <c r="M162" s="49"/>
    </row>
    <row r="163" spans="2:13" hidden="1" x14ac:dyDescent="0.25">
      <c r="B163" s="56" t="str">
        <f>CONCATENATE("18.",Prüfkriterien_1119[[#This Row],[Spalte2]])</f>
        <v>18.2</v>
      </c>
      <c r="C163" s="57">
        <f>ROW()-ROW(Prüfkriterien_1119[[#Headers],[Spalte3]])</f>
        <v>2</v>
      </c>
      <c r="D163" s="57">
        <f>(Prüfkriterien_1119[Spalte2]+180)/10</f>
        <v>18.2</v>
      </c>
      <c r="E163" s="58"/>
      <c r="F163" s="59"/>
      <c r="G163" s="59"/>
      <c r="H163" s="70"/>
      <c r="I163" s="70"/>
      <c r="J163" s="70"/>
      <c r="K163" s="70"/>
      <c r="L163" s="70"/>
      <c r="M163" s="87"/>
    </row>
    <row r="164" spans="2:13" hidden="1" x14ac:dyDescent="0.25">
      <c r="B164" s="44" t="str">
        <f>CONCATENATE("18.",Prüfkriterien_1119[[#This Row],[Spalte2]])</f>
        <v>18.3</v>
      </c>
      <c r="C164" s="45">
        <f>ROW()-ROW(Prüfkriterien_1119[[#Headers],[Spalte3]])</f>
        <v>3</v>
      </c>
      <c r="D164" s="45">
        <f>(Prüfkriterien_1119[Spalte2]+180)/10</f>
        <v>18.3</v>
      </c>
      <c r="E164" s="31"/>
      <c r="F164" s="32"/>
      <c r="G164" s="32"/>
      <c r="H164" s="70"/>
      <c r="I164" s="70"/>
      <c r="J164" s="70"/>
      <c r="K164" s="70"/>
      <c r="L164" s="70"/>
      <c r="M164" s="49"/>
    </row>
    <row r="165" spans="2:13" hidden="1" x14ac:dyDescent="0.25">
      <c r="B165" s="44" t="str">
        <f>CONCATENATE("18.",Prüfkriterien_1119[[#This Row],[Spalte2]])</f>
        <v>18.4</v>
      </c>
      <c r="C165" s="45">
        <f>ROW()-ROW(Prüfkriterien_1119[[#Headers],[Spalte3]])</f>
        <v>4</v>
      </c>
      <c r="D165" s="45">
        <f>(Prüfkriterien_1119[Spalte2]+180)/10</f>
        <v>18.399999999999999</v>
      </c>
      <c r="E165" s="31"/>
      <c r="F165" s="32"/>
      <c r="G165" s="32"/>
      <c r="H165" s="70"/>
      <c r="I165" s="70"/>
      <c r="J165" s="70"/>
      <c r="K165" s="70"/>
      <c r="L165" s="70"/>
      <c r="M165" s="49"/>
    </row>
    <row r="166" spans="2:13" hidden="1" x14ac:dyDescent="0.25">
      <c r="B166" s="56" t="str">
        <f>CONCATENATE("18.",Prüfkriterien_1119[[#This Row],[Spalte2]])</f>
        <v>18.5</v>
      </c>
      <c r="C166" s="57">
        <f>ROW()-ROW(Prüfkriterien_1119[[#Headers],[Spalte3]])</f>
        <v>5</v>
      </c>
      <c r="D166" s="57">
        <f>(Prüfkriterien_1119[Spalte2]+180)/10</f>
        <v>18.5</v>
      </c>
      <c r="E166" s="58"/>
      <c r="F166" s="59"/>
      <c r="G166" s="59"/>
      <c r="H166" s="70"/>
      <c r="I166" s="70"/>
      <c r="J166" s="70"/>
      <c r="K166" s="70"/>
      <c r="L166" s="70"/>
      <c r="M166" s="87"/>
    </row>
    <row r="167" spans="2:13" hidden="1" x14ac:dyDescent="0.25">
      <c r="B167" s="173" t="s">
        <v>95</v>
      </c>
      <c r="C167" s="174"/>
      <c r="D167" s="174"/>
      <c r="E167" s="174"/>
      <c r="F167" s="174"/>
      <c r="G167" s="174"/>
      <c r="H167" s="174"/>
      <c r="I167" s="174"/>
      <c r="J167" s="174"/>
      <c r="K167" s="174"/>
      <c r="L167" s="174"/>
      <c r="M167" s="175"/>
    </row>
    <row r="168" spans="2:13" hidden="1" x14ac:dyDescent="0.25">
      <c r="B168" s="44" t="s">
        <v>39</v>
      </c>
      <c r="C168" s="45" t="s">
        <v>40</v>
      </c>
      <c r="D168" s="45" t="s">
        <v>41</v>
      </c>
      <c r="E168" s="31" t="s">
        <v>42</v>
      </c>
      <c r="F168" s="32" t="s">
        <v>43</v>
      </c>
      <c r="G168" s="32" t="s">
        <v>46</v>
      </c>
      <c r="H168" s="33" t="s">
        <v>47</v>
      </c>
      <c r="I168" s="33" t="s">
        <v>48</v>
      </c>
      <c r="J168" s="33" t="s">
        <v>49</v>
      </c>
      <c r="K168" s="33" t="s">
        <v>50</v>
      </c>
      <c r="L168" s="33" t="s">
        <v>51</v>
      </c>
      <c r="M168" s="34" t="s">
        <v>52</v>
      </c>
    </row>
    <row r="169" spans="2:13" hidden="1" x14ac:dyDescent="0.25">
      <c r="B169" s="44" t="str">
        <f>CONCATENATE("19.",Prüfkriterien_1120[[#This Row],[Spalte2]])</f>
        <v>19.1</v>
      </c>
      <c r="C169" s="45">
        <f>ROW()-ROW(Prüfkriterien_1120[[#Headers],[Spalte3]])</f>
        <v>1</v>
      </c>
      <c r="D169" s="45">
        <f>(Prüfkriterien_1120[Spalte2]+190)/10</f>
        <v>19.100000000000001</v>
      </c>
      <c r="E169" s="31"/>
      <c r="F169" s="32"/>
      <c r="G169" s="32"/>
      <c r="H169" s="70"/>
      <c r="I169" s="70"/>
      <c r="J169" s="70"/>
      <c r="K169" s="70"/>
      <c r="L169" s="70"/>
      <c r="M169" s="49"/>
    </row>
    <row r="170" spans="2:13" hidden="1" x14ac:dyDescent="0.25">
      <c r="B170" s="56" t="str">
        <f>CONCATENATE("19.",Prüfkriterien_1120[[#This Row],[Spalte2]])</f>
        <v>19.2</v>
      </c>
      <c r="C170" s="57">
        <f>ROW()-ROW(Prüfkriterien_1120[[#Headers],[Spalte3]])</f>
        <v>2</v>
      </c>
      <c r="D170" s="57">
        <f>(Prüfkriterien_1120[Spalte2]+190)/10</f>
        <v>19.2</v>
      </c>
      <c r="E170" s="58"/>
      <c r="F170" s="59"/>
      <c r="G170" s="59"/>
      <c r="H170" s="70"/>
      <c r="I170" s="70"/>
      <c r="J170" s="70"/>
      <c r="K170" s="70"/>
      <c r="L170" s="70"/>
      <c r="M170" s="87"/>
    </row>
    <row r="171" spans="2:13" hidden="1" x14ac:dyDescent="0.25">
      <c r="B171" s="44" t="str">
        <f>CONCATENATE("19.",Prüfkriterien_1120[[#This Row],[Spalte2]])</f>
        <v>19.3</v>
      </c>
      <c r="C171" s="45">
        <f>ROW()-ROW(Prüfkriterien_1120[[#Headers],[Spalte3]])</f>
        <v>3</v>
      </c>
      <c r="D171" s="45">
        <f>(Prüfkriterien_1120[Spalte2]+190)/10</f>
        <v>19.3</v>
      </c>
      <c r="E171" s="31"/>
      <c r="F171" s="32"/>
      <c r="G171" s="32"/>
      <c r="H171" s="70"/>
      <c r="I171" s="70"/>
      <c r="J171" s="70"/>
      <c r="K171" s="70"/>
      <c r="L171" s="70"/>
      <c r="M171" s="49"/>
    </row>
    <row r="172" spans="2:13" hidden="1" x14ac:dyDescent="0.25">
      <c r="B172" s="44" t="str">
        <f>CONCATENATE("19.",Prüfkriterien_1120[[#This Row],[Spalte2]])</f>
        <v>19.4</v>
      </c>
      <c r="C172" s="45">
        <f>ROW()-ROW(Prüfkriterien_1120[[#Headers],[Spalte3]])</f>
        <v>4</v>
      </c>
      <c r="D172" s="45">
        <f>(Prüfkriterien_1120[Spalte2]+190)/10</f>
        <v>19.399999999999999</v>
      </c>
      <c r="E172" s="31"/>
      <c r="F172" s="32"/>
      <c r="G172" s="32"/>
      <c r="H172" s="70"/>
      <c r="I172" s="70"/>
      <c r="J172" s="70"/>
      <c r="K172" s="70"/>
      <c r="L172" s="70"/>
      <c r="M172" s="49"/>
    </row>
    <row r="173" spans="2:13" hidden="1" x14ac:dyDescent="0.25">
      <c r="B173" s="56" t="str">
        <f>CONCATENATE("19.",Prüfkriterien_1120[[#This Row],[Spalte2]])</f>
        <v>19.5</v>
      </c>
      <c r="C173" s="57">
        <f>ROW()-ROW(Prüfkriterien_1120[[#Headers],[Spalte3]])</f>
        <v>5</v>
      </c>
      <c r="D173" s="57">
        <f>(Prüfkriterien_1120[Spalte2]+190)/10</f>
        <v>19.5</v>
      </c>
      <c r="E173" s="58"/>
      <c r="F173" s="59"/>
      <c r="G173" s="59"/>
      <c r="H173" s="70"/>
      <c r="I173" s="70"/>
      <c r="J173" s="70"/>
      <c r="K173" s="70"/>
      <c r="L173" s="70"/>
      <c r="M173" s="87"/>
    </row>
    <row r="174" spans="2:13" hidden="1" x14ac:dyDescent="0.25">
      <c r="B174" s="173" t="s">
        <v>96</v>
      </c>
      <c r="C174" s="174"/>
      <c r="D174" s="174"/>
      <c r="E174" s="174"/>
      <c r="F174" s="174"/>
      <c r="G174" s="174"/>
      <c r="H174" s="174"/>
      <c r="I174" s="174"/>
      <c r="J174" s="174"/>
      <c r="K174" s="174"/>
      <c r="L174" s="174"/>
      <c r="M174" s="175"/>
    </row>
    <row r="175" spans="2:13" hidden="1" x14ac:dyDescent="0.25">
      <c r="B175" s="44" t="s">
        <v>39</v>
      </c>
      <c r="C175" s="45" t="s">
        <v>40</v>
      </c>
      <c r="D175" s="45" t="s">
        <v>41</v>
      </c>
      <c r="E175" s="31" t="s">
        <v>42</v>
      </c>
      <c r="F175" s="32" t="s">
        <v>43</v>
      </c>
      <c r="G175" s="32" t="s">
        <v>46</v>
      </c>
      <c r="H175" s="33" t="s">
        <v>47</v>
      </c>
      <c r="I175" s="33" t="s">
        <v>48</v>
      </c>
      <c r="J175" s="33" t="s">
        <v>49</v>
      </c>
      <c r="K175" s="33" t="s">
        <v>50</v>
      </c>
      <c r="L175" s="33" t="s">
        <v>51</v>
      </c>
      <c r="M175" s="34" t="s">
        <v>52</v>
      </c>
    </row>
    <row r="176" spans="2:13" hidden="1" x14ac:dyDescent="0.25">
      <c r="B176" s="44" t="str">
        <f>CONCATENATE("20.",Prüfkriterien_1121[[#This Row],[Spalte2]])</f>
        <v>20.1</v>
      </c>
      <c r="C176" s="45">
        <f>ROW()-ROW(Prüfkriterien_1121[[#Headers],[Spalte3]])</f>
        <v>1</v>
      </c>
      <c r="D176" s="45">
        <f>(Prüfkriterien_1121[Spalte2]+200)/10</f>
        <v>20.100000000000001</v>
      </c>
      <c r="E176" s="31"/>
      <c r="F176" s="32"/>
      <c r="G176" s="32"/>
      <c r="H176" s="70"/>
      <c r="I176" s="70"/>
      <c r="J176" s="70"/>
      <c r="K176" s="70"/>
      <c r="L176" s="70"/>
      <c r="M176" s="49"/>
    </row>
    <row r="177" spans="2:13" hidden="1" x14ac:dyDescent="0.25">
      <c r="B177" s="56" t="str">
        <f>CONCATENATE("20.",Prüfkriterien_1121[[#This Row],[Spalte2]])</f>
        <v>20.2</v>
      </c>
      <c r="C177" s="57">
        <f>ROW()-ROW(Prüfkriterien_1121[[#Headers],[Spalte3]])</f>
        <v>2</v>
      </c>
      <c r="D177" s="57">
        <f>(Prüfkriterien_1121[Spalte2]+200)/10</f>
        <v>20.2</v>
      </c>
      <c r="E177" s="58"/>
      <c r="F177" s="59"/>
      <c r="G177" s="59"/>
      <c r="H177" s="70"/>
      <c r="I177" s="70"/>
      <c r="J177" s="70"/>
      <c r="K177" s="70"/>
      <c r="L177" s="70"/>
      <c r="M177" s="87"/>
    </row>
    <row r="178" spans="2:13" hidden="1" x14ac:dyDescent="0.25">
      <c r="B178" s="44" t="str">
        <f>CONCATENATE("20.",Prüfkriterien_1121[[#This Row],[Spalte2]])</f>
        <v>20.3</v>
      </c>
      <c r="C178" s="45">
        <f>ROW()-ROW(Prüfkriterien_1121[[#Headers],[Spalte3]])</f>
        <v>3</v>
      </c>
      <c r="D178" s="45">
        <f>(Prüfkriterien_1121[Spalte2]+200)/10</f>
        <v>20.3</v>
      </c>
      <c r="E178" s="31"/>
      <c r="F178" s="32"/>
      <c r="G178" s="32"/>
      <c r="H178" s="70"/>
      <c r="I178" s="70"/>
      <c r="J178" s="70"/>
      <c r="K178" s="70"/>
      <c r="L178" s="70"/>
      <c r="M178" s="49"/>
    </row>
    <row r="179" spans="2:13" hidden="1" x14ac:dyDescent="0.25">
      <c r="B179" s="44" t="str">
        <f>CONCATENATE("20.",Prüfkriterien_1121[[#This Row],[Spalte2]])</f>
        <v>20.4</v>
      </c>
      <c r="C179" s="45">
        <f>ROW()-ROW(Prüfkriterien_1121[[#Headers],[Spalte3]])</f>
        <v>4</v>
      </c>
      <c r="D179" s="45">
        <f>(Prüfkriterien_1121[Spalte2]+200)/10</f>
        <v>20.399999999999999</v>
      </c>
      <c r="E179" s="31"/>
      <c r="F179" s="32"/>
      <c r="G179" s="32"/>
      <c r="H179" s="70"/>
      <c r="I179" s="70"/>
      <c r="J179" s="70"/>
      <c r="K179" s="70"/>
      <c r="L179" s="70"/>
      <c r="M179" s="49"/>
    </row>
    <row r="180" spans="2:13" hidden="1" x14ac:dyDescent="0.25">
      <c r="B180" s="56" t="str">
        <f>CONCATENATE("20.",Prüfkriterien_1121[[#This Row],[Spalte2]])</f>
        <v>20.5</v>
      </c>
      <c r="C180" s="57">
        <f>ROW()-ROW(Prüfkriterien_1121[[#Headers],[Spalte3]])</f>
        <v>5</v>
      </c>
      <c r="D180" s="57">
        <f>(Prüfkriterien_1121[Spalte2]+200)/10</f>
        <v>20.5</v>
      </c>
      <c r="E180" s="58"/>
      <c r="F180" s="59"/>
      <c r="G180" s="59"/>
      <c r="H180" s="70"/>
      <c r="I180" s="70"/>
      <c r="J180" s="70"/>
      <c r="K180" s="70"/>
      <c r="L180" s="70"/>
      <c r="M180" s="87"/>
    </row>
    <row r="181" spans="2:13" hidden="1" x14ac:dyDescent="0.25"/>
  </sheetData>
  <sheetProtection formatCells="0" formatRows="0" insertRows="0" deleteRows="0"/>
  <mergeCells count="32">
    <mergeCell ref="B153:M153"/>
    <mergeCell ref="B160:M160"/>
    <mergeCell ref="B167:M167"/>
    <mergeCell ref="B174:M174"/>
    <mergeCell ref="B118:M118"/>
    <mergeCell ref="B125:M125"/>
    <mergeCell ref="B132:M132"/>
    <mergeCell ref="B139:M139"/>
    <mergeCell ref="B146:M146"/>
    <mergeCell ref="B69:M69"/>
    <mergeCell ref="C4:K4"/>
    <mergeCell ref="B6:B7"/>
    <mergeCell ref="C6:C7"/>
    <mergeCell ref="E6:E7"/>
    <mergeCell ref="F6:F7"/>
    <mergeCell ref="G6:G7"/>
    <mergeCell ref="H6:L6"/>
    <mergeCell ref="M6:M7"/>
    <mergeCell ref="D6:D7"/>
    <mergeCell ref="B62:M62"/>
    <mergeCell ref="B2:M2"/>
    <mergeCell ref="B5:M5"/>
    <mergeCell ref="B8:M8"/>
    <mergeCell ref="B20:M20"/>
    <mergeCell ref="B45:M45"/>
    <mergeCell ref="B3:M3"/>
    <mergeCell ref="B111:M111"/>
    <mergeCell ref="B76:M76"/>
    <mergeCell ref="B83:M83"/>
    <mergeCell ref="B90:M90"/>
    <mergeCell ref="B97:M97"/>
    <mergeCell ref="B104:M104"/>
  </mergeCells>
  <dataValidations count="2">
    <dataValidation type="list" allowBlank="1" showInputMessage="1" showErrorMessage="1" sqref="C4:K4">
      <formula1>_Betriebsname</formula1>
    </dataValidation>
    <dataValidation type="list" allowBlank="1" showInputMessage="1" showErrorMessage="1" sqref="M4">
      <formula1>_Datum</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
Version 2024&amp;C&amp;G&amp;R
&amp;"Arial,Standard"&amp;8&amp;P von &amp;N</oddFooter>
  </headerFooter>
  <legacyDrawingHF r:id="rId2"/>
  <tableParts count="20">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s>
  <extLst>
    <ext xmlns:x14="http://schemas.microsoft.com/office/spreadsheetml/2009/9/main" uri="{78C0D931-6437-407d-A8EE-F0AAD7539E65}">
      <x14:conditionalFormattings>
        <x14:conditionalFormatting xmlns:xm="http://schemas.microsoft.com/office/excel/2006/main">
          <x14:cfRule type="containsText" priority="39" operator="containsText" id="{5E95DCB8-8D9B-43CB-9F0E-367D7B8C392E}">
            <xm:f>NOT(ISERROR(SEARCH("grau",H21)))</xm:f>
            <xm:f>"grau"</xm:f>
            <x14:dxf>
              <font>
                <color rgb="FF808080"/>
              </font>
              <fill>
                <patternFill>
                  <bgColor rgb="FF808080"/>
                </patternFill>
              </fill>
            </x14:dxf>
          </x14:cfRule>
          <xm:sqref>H70:L70 H46:L46 H21:L21 H63:L63</xm:sqref>
        </x14:conditionalFormatting>
        <x14:conditionalFormatting xmlns:xm="http://schemas.microsoft.com/office/excel/2006/main">
          <x14:cfRule type="containsText" priority="36" operator="containsText" id="{856D55F9-5406-42BE-8943-059812964641}">
            <xm:f>NOT(ISERROR(SEARCH("grau",H10)))</xm:f>
            <xm:f>"grau"</xm:f>
            <x14:dxf>
              <font>
                <strike val="0"/>
                <color rgb="FF808080"/>
              </font>
              <fill>
                <patternFill>
                  <bgColor rgb="FF808080"/>
                </patternFill>
              </fill>
            </x14:dxf>
          </x14:cfRule>
          <xm:sqref>H10:L19 H47:L61</xm:sqref>
        </x14:conditionalFormatting>
        <x14:conditionalFormatting xmlns:xm="http://schemas.microsoft.com/office/excel/2006/main">
          <x14:cfRule type="containsText" priority="34" operator="containsText" id="{3EA6EFDB-E455-4F38-A982-1E38324F0343}">
            <xm:f>NOT(ISERROR(SEARCH("grau",H77)))</xm:f>
            <xm:f>"grau"</xm:f>
            <x14:dxf>
              <font>
                <color rgb="FF808080"/>
              </font>
              <fill>
                <patternFill>
                  <bgColor rgb="FF808080"/>
                </patternFill>
              </fill>
            </x14:dxf>
          </x14:cfRule>
          <xm:sqref>H77:L77</xm:sqref>
        </x14:conditionalFormatting>
        <x14:conditionalFormatting xmlns:xm="http://schemas.microsoft.com/office/excel/2006/main">
          <x14:cfRule type="containsText" priority="33" operator="containsText" id="{5BEAB68E-34A9-4110-B056-50320AFBCCB0}">
            <xm:f>NOT(ISERROR(SEARCH("grau",H84)))</xm:f>
            <xm:f>"grau"</xm:f>
            <x14:dxf>
              <font>
                <color rgb="FF808080"/>
              </font>
              <fill>
                <patternFill>
                  <bgColor rgb="FF808080"/>
                </patternFill>
              </fill>
            </x14:dxf>
          </x14:cfRule>
          <xm:sqref>H84:L84</xm:sqref>
        </x14:conditionalFormatting>
        <x14:conditionalFormatting xmlns:xm="http://schemas.microsoft.com/office/excel/2006/main">
          <x14:cfRule type="containsText" priority="32" operator="containsText" id="{CF7EDDB7-2157-4E54-80CC-AC6AB6FBA5CD}">
            <xm:f>NOT(ISERROR(SEARCH("grau",H91)))</xm:f>
            <xm:f>"grau"</xm:f>
            <x14:dxf>
              <font>
                <color rgb="FF808080"/>
              </font>
              <fill>
                <patternFill>
                  <bgColor rgb="FF808080"/>
                </patternFill>
              </fill>
            </x14:dxf>
          </x14:cfRule>
          <xm:sqref>H91:L91</xm:sqref>
        </x14:conditionalFormatting>
        <x14:conditionalFormatting xmlns:xm="http://schemas.microsoft.com/office/excel/2006/main">
          <x14:cfRule type="containsText" priority="31" operator="containsText" id="{A15A7D79-1345-4D48-A805-61E375A492E8}">
            <xm:f>NOT(ISERROR(SEARCH("grau",H98)))</xm:f>
            <xm:f>"grau"</xm:f>
            <x14:dxf>
              <font>
                <color rgb="FF808080"/>
              </font>
              <fill>
                <patternFill>
                  <bgColor rgb="FF808080"/>
                </patternFill>
              </fill>
            </x14:dxf>
          </x14:cfRule>
          <xm:sqref>H98:L98</xm:sqref>
        </x14:conditionalFormatting>
        <x14:conditionalFormatting xmlns:xm="http://schemas.microsoft.com/office/excel/2006/main">
          <x14:cfRule type="containsText" priority="30" operator="containsText" id="{24D64CB9-06C8-4AB6-96E9-068B2C93B725}">
            <xm:f>NOT(ISERROR(SEARCH("grau",H105)))</xm:f>
            <xm:f>"grau"</xm:f>
            <x14:dxf>
              <font>
                <color rgb="FF808080"/>
              </font>
              <fill>
                <patternFill>
                  <bgColor rgb="FF808080"/>
                </patternFill>
              </fill>
            </x14:dxf>
          </x14:cfRule>
          <xm:sqref>H105:L105</xm:sqref>
        </x14:conditionalFormatting>
        <x14:conditionalFormatting xmlns:xm="http://schemas.microsoft.com/office/excel/2006/main">
          <x14:cfRule type="containsText" priority="29" operator="containsText" id="{04852FE4-12C5-447A-9DDA-1F52D59ECA2D}">
            <xm:f>NOT(ISERROR(SEARCH("grau",H112)))</xm:f>
            <xm:f>"grau"</xm:f>
            <x14:dxf>
              <font>
                <color rgb="FF808080"/>
              </font>
              <fill>
                <patternFill>
                  <bgColor rgb="FF808080"/>
                </patternFill>
              </fill>
            </x14:dxf>
          </x14:cfRule>
          <xm:sqref>H112:L112</xm:sqref>
        </x14:conditionalFormatting>
        <x14:conditionalFormatting xmlns:xm="http://schemas.microsoft.com/office/excel/2006/main">
          <x14:cfRule type="containsText" priority="28" operator="containsText" id="{1B11C437-34B9-47E8-A189-06DEB20FD13E}">
            <xm:f>NOT(ISERROR(SEARCH("grau",H22)))</xm:f>
            <xm:f>"grau"</xm:f>
            <x14:dxf>
              <font>
                <strike val="0"/>
                <color rgb="FF808080"/>
              </font>
              <fill>
                <patternFill>
                  <bgColor rgb="FF808080"/>
                </patternFill>
              </fill>
            </x14:dxf>
          </x14:cfRule>
          <xm:sqref>H22:L44</xm:sqref>
        </x14:conditionalFormatting>
        <x14:conditionalFormatting xmlns:xm="http://schemas.microsoft.com/office/excel/2006/main">
          <x14:cfRule type="containsText" priority="26" operator="containsText" id="{6B2630DF-0152-463B-8E8F-7DFFBBDC35B1}">
            <xm:f>NOT(ISERROR(SEARCH("grau",H64)))</xm:f>
            <xm:f>"grau"</xm:f>
            <x14:dxf>
              <font>
                <strike val="0"/>
                <color rgb="FF808080"/>
              </font>
              <fill>
                <patternFill>
                  <bgColor rgb="FF808080"/>
                </patternFill>
              </fill>
            </x14:dxf>
          </x14:cfRule>
          <xm:sqref>H64:L68</xm:sqref>
        </x14:conditionalFormatting>
        <x14:conditionalFormatting xmlns:xm="http://schemas.microsoft.com/office/excel/2006/main">
          <x14:cfRule type="containsText" priority="25" operator="containsText" id="{BA89E90E-1A93-4265-9930-A96334178A3E}">
            <xm:f>NOT(ISERROR(SEARCH("grau",H71)))</xm:f>
            <xm:f>"grau"</xm:f>
            <x14:dxf>
              <font>
                <strike val="0"/>
                <color rgb="FF808080"/>
              </font>
              <fill>
                <patternFill>
                  <bgColor rgb="FF808080"/>
                </patternFill>
              </fill>
            </x14:dxf>
          </x14:cfRule>
          <xm:sqref>H71:L75</xm:sqref>
        </x14:conditionalFormatting>
        <x14:conditionalFormatting xmlns:xm="http://schemas.microsoft.com/office/excel/2006/main">
          <x14:cfRule type="containsText" priority="24" operator="containsText" id="{772EE153-1058-4481-81EC-EC79110DF832}">
            <xm:f>NOT(ISERROR(SEARCH("grau",H78)))</xm:f>
            <xm:f>"grau"</xm:f>
            <x14:dxf>
              <font>
                <strike val="0"/>
                <color rgb="FF808080"/>
              </font>
              <fill>
                <patternFill>
                  <bgColor rgb="FF808080"/>
                </patternFill>
              </fill>
            </x14:dxf>
          </x14:cfRule>
          <xm:sqref>H78:L82</xm:sqref>
        </x14:conditionalFormatting>
        <x14:conditionalFormatting xmlns:xm="http://schemas.microsoft.com/office/excel/2006/main">
          <x14:cfRule type="containsText" priority="23" operator="containsText" id="{06310DAF-FAF1-4357-994B-C506C512BAA5}">
            <xm:f>NOT(ISERROR(SEARCH("grau",H85)))</xm:f>
            <xm:f>"grau"</xm:f>
            <x14:dxf>
              <font>
                <strike val="0"/>
                <color rgb="FF808080"/>
              </font>
              <fill>
                <patternFill>
                  <bgColor rgb="FF808080"/>
                </patternFill>
              </fill>
            </x14:dxf>
          </x14:cfRule>
          <xm:sqref>H85:L89</xm:sqref>
        </x14:conditionalFormatting>
        <x14:conditionalFormatting xmlns:xm="http://schemas.microsoft.com/office/excel/2006/main">
          <x14:cfRule type="containsText" priority="22" operator="containsText" id="{F50A2E74-AEBA-4758-8579-E6C27D5A40FF}">
            <xm:f>NOT(ISERROR(SEARCH("grau",H92)))</xm:f>
            <xm:f>"grau"</xm:f>
            <x14:dxf>
              <font>
                <strike val="0"/>
                <color rgb="FF808080"/>
              </font>
              <fill>
                <patternFill>
                  <bgColor rgb="FF808080"/>
                </patternFill>
              </fill>
            </x14:dxf>
          </x14:cfRule>
          <xm:sqref>H92:L96</xm:sqref>
        </x14:conditionalFormatting>
        <x14:conditionalFormatting xmlns:xm="http://schemas.microsoft.com/office/excel/2006/main">
          <x14:cfRule type="containsText" priority="21" operator="containsText" id="{B52103CB-7894-4E3D-8105-E260B710669F}">
            <xm:f>NOT(ISERROR(SEARCH("grau",H99)))</xm:f>
            <xm:f>"grau"</xm:f>
            <x14:dxf>
              <font>
                <strike val="0"/>
                <color rgb="FF808080"/>
              </font>
              <fill>
                <patternFill>
                  <bgColor rgb="FF808080"/>
                </patternFill>
              </fill>
            </x14:dxf>
          </x14:cfRule>
          <xm:sqref>H99:L103</xm:sqref>
        </x14:conditionalFormatting>
        <x14:conditionalFormatting xmlns:xm="http://schemas.microsoft.com/office/excel/2006/main">
          <x14:cfRule type="containsText" priority="20" operator="containsText" id="{827CEE01-C27D-4F34-B9BE-B7A4EC61EFE4}">
            <xm:f>NOT(ISERROR(SEARCH("grau",H106)))</xm:f>
            <xm:f>"grau"</xm:f>
            <x14:dxf>
              <font>
                <strike val="0"/>
                <color rgb="FF808080"/>
              </font>
              <fill>
                <patternFill>
                  <bgColor rgb="FF808080"/>
                </patternFill>
              </fill>
            </x14:dxf>
          </x14:cfRule>
          <xm:sqref>H106:L110</xm:sqref>
        </x14:conditionalFormatting>
        <x14:conditionalFormatting xmlns:xm="http://schemas.microsoft.com/office/excel/2006/main">
          <x14:cfRule type="containsText" priority="19" operator="containsText" id="{218E882A-790B-45BF-80A1-9D31AB0FD7DC}">
            <xm:f>NOT(ISERROR(SEARCH("grau",H113)))</xm:f>
            <xm:f>"grau"</xm:f>
            <x14:dxf>
              <font>
                <strike val="0"/>
                <color rgb="FF808080"/>
              </font>
              <fill>
                <patternFill>
                  <bgColor rgb="FF808080"/>
                </patternFill>
              </fill>
            </x14:dxf>
          </x14:cfRule>
          <xm:sqref>H113:L117</xm:sqref>
        </x14:conditionalFormatting>
        <x14:conditionalFormatting xmlns:xm="http://schemas.microsoft.com/office/excel/2006/main">
          <x14:cfRule type="containsText" priority="18" operator="containsText" id="{8E345CC0-DE0C-461B-84CB-B06D057E989D}">
            <xm:f>NOT(ISERROR(SEARCH("grau",H119)))</xm:f>
            <xm:f>"grau"</xm:f>
            <x14:dxf>
              <font>
                <color rgb="FF808080"/>
              </font>
              <fill>
                <patternFill>
                  <bgColor rgb="FF808080"/>
                </patternFill>
              </fill>
            </x14:dxf>
          </x14:cfRule>
          <xm:sqref>H119:L119</xm:sqref>
        </x14:conditionalFormatting>
        <x14:conditionalFormatting xmlns:xm="http://schemas.microsoft.com/office/excel/2006/main">
          <x14:cfRule type="containsText" priority="17" operator="containsText" id="{48CBEDB5-1637-4C2B-82B1-16772B04E6CB}">
            <xm:f>NOT(ISERROR(SEARCH("grau",H120)))</xm:f>
            <xm:f>"grau"</xm:f>
            <x14:dxf>
              <font>
                <strike val="0"/>
                <color rgb="FF808080"/>
              </font>
              <fill>
                <patternFill>
                  <bgColor rgb="FF808080"/>
                </patternFill>
              </fill>
            </x14:dxf>
          </x14:cfRule>
          <xm:sqref>H120:L124</xm:sqref>
        </x14:conditionalFormatting>
        <x14:conditionalFormatting xmlns:xm="http://schemas.microsoft.com/office/excel/2006/main">
          <x14:cfRule type="containsText" priority="16" operator="containsText" id="{2745B01A-6B99-4D67-B14B-FF7B2C06CC6F}">
            <xm:f>NOT(ISERROR(SEARCH("grau",H126)))</xm:f>
            <xm:f>"grau"</xm:f>
            <x14:dxf>
              <font>
                <color rgb="FF808080"/>
              </font>
              <fill>
                <patternFill>
                  <bgColor rgb="FF808080"/>
                </patternFill>
              </fill>
            </x14:dxf>
          </x14:cfRule>
          <xm:sqref>H126:L126</xm:sqref>
        </x14:conditionalFormatting>
        <x14:conditionalFormatting xmlns:xm="http://schemas.microsoft.com/office/excel/2006/main">
          <x14:cfRule type="containsText" priority="15" operator="containsText" id="{2C607EA8-22BC-4BCE-BA4C-AD5D8703291B}">
            <xm:f>NOT(ISERROR(SEARCH("grau",H127)))</xm:f>
            <xm:f>"grau"</xm:f>
            <x14:dxf>
              <font>
                <strike val="0"/>
                <color rgb="FF808080"/>
              </font>
              <fill>
                <patternFill>
                  <bgColor rgb="FF808080"/>
                </patternFill>
              </fill>
            </x14:dxf>
          </x14:cfRule>
          <xm:sqref>H127:L131</xm:sqref>
        </x14:conditionalFormatting>
        <x14:conditionalFormatting xmlns:xm="http://schemas.microsoft.com/office/excel/2006/main">
          <x14:cfRule type="containsText" priority="14" operator="containsText" id="{A58EDBC0-A6FA-4B98-98F1-D1DB4AB1F494}">
            <xm:f>NOT(ISERROR(SEARCH("grau",H133)))</xm:f>
            <xm:f>"grau"</xm:f>
            <x14:dxf>
              <font>
                <color rgb="FF808080"/>
              </font>
              <fill>
                <patternFill>
                  <bgColor rgb="FF808080"/>
                </patternFill>
              </fill>
            </x14:dxf>
          </x14:cfRule>
          <xm:sqref>H133:L133</xm:sqref>
        </x14:conditionalFormatting>
        <x14:conditionalFormatting xmlns:xm="http://schemas.microsoft.com/office/excel/2006/main">
          <x14:cfRule type="containsText" priority="13" operator="containsText" id="{D4F9F991-0D7C-425F-BD70-B29CC01E04B4}">
            <xm:f>NOT(ISERROR(SEARCH("grau",H134)))</xm:f>
            <xm:f>"grau"</xm:f>
            <x14:dxf>
              <font>
                <strike val="0"/>
                <color rgb="FF808080"/>
              </font>
              <fill>
                <patternFill>
                  <bgColor rgb="FF808080"/>
                </patternFill>
              </fill>
            </x14:dxf>
          </x14:cfRule>
          <xm:sqref>H134:L138</xm:sqref>
        </x14:conditionalFormatting>
        <x14:conditionalFormatting xmlns:xm="http://schemas.microsoft.com/office/excel/2006/main">
          <x14:cfRule type="containsText" priority="12" operator="containsText" id="{A6240BDF-9D8E-4AEB-AAAF-8DCB63CA9EF0}">
            <xm:f>NOT(ISERROR(SEARCH("grau",H140)))</xm:f>
            <xm:f>"grau"</xm:f>
            <x14:dxf>
              <font>
                <color rgb="FF808080"/>
              </font>
              <fill>
                <patternFill>
                  <bgColor rgb="FF808080"/>
                </patternFill>
              </fill>
            </x14:dxf>
          </x14:cfRule>
          <xm:sqref>H140:L140</xm:sqref>
        </x14:conditionalFormatting>
        <x14:conditionalFormatting xmlns:xm="http://schemas.microsoft.com/office/excel/2006/main">
          <x14:cfRule type="containsText" priority="11" operator="containsText" id="{EC130479-BD0B-42F6-9E65-D6C69ABD6103}">
            <xm:f>NOT(ISERROR(SEARCH("grau",H141)))</xm:f>
            <xm:f>"grau"</xm:f>
            <x14:dxf>
              <font>
                <strike val="0"/>
                <color rgb="FF808080"/>
              </font>
              <fill>
                <patternFill>
                  <bgColor rgb="FF808080"/>
                </patternFill>
              </fill>
            </x14:dxf>
          </x14:cfRule>
          <xm:sqref>H141:L145</xm:sqref>
        </x14:conditionalFormatting>
        <x14:conditionalFormatting xmlns:xm="http://schemas.microsoft.com/office/excel/2006/main">
          <x14:cfRule type="containsText" priority="10" operator="containsText" id="{2F8D4FCA-C500-4988-97CB-13959DA3FA17}">
            <xm:f>NOT(ISERROR(SEARCH("grau",H147)))</xm:f>
            <xm:f>"grau"</xm:f>
            <x14:dxf>
              <font>
                <color rgb="FF808080"/>
              </font>
              <fill>
                <patternFill>
                  <bgColor rgb="FF808080"/>
                </patternFill>
              </fill>
            </x14:dxf>
          </x14:cfRule>
          <xm:sqref>H147:L147</xm:sqref>
        </x14:conditionalFormatting>
        <x14:conditionalFormatting xmlns:xm="http://schemas.microsoft.com/office/excel/2006/main">
          <x14:cfRule type="containsText" priority="9" operator="containsText" id="{3F7C17B3-051D-4DA6-AAAD-F7B80CAAC817}">
            <xm:f>NOT(ISERROR(SEARCH("grau",H148)))</xm:f>
            <xm:f>"grau"</xm:f>
            <x14:dxf>
              <font>
                <strike val="0"/>
                <color rgb="FF808080"/>
              </font>
              <fill>
                <patternFill>
                  <bgColor rgb="FF808080"/>
                </patternFill>
              </fill>
            </x14:dxf>
          </x14:cfRule>
          <xm:sqref>H148:L152</xm:sqref>
        </x14:conditionalFormatting>
        <x14:conditionalFormatting xmlns:xm="http://schemas.microsoft.com/office/excel/2006/main">
          <x14:cfRule type="containsText" priority="8" operator="containsText" id="{7CF32196-035C-4D7B-AF6D-E5B2AF7CFDA1}">
            <xm:f>NOT(ISERROR(SEARCH("grau",H154)))</xm:f>
            <xm:f>"grau"</xm:f>
            <x14:dxf>
              <font>
                <color rgb="FF808080"/>
              </font>
              <fill>
                <patternFill>
                  <bgColor rgb="FF808080"/>
                </patternFill>
              </fill>
            </x14:dxf>
          </x14:cfRule>
          <xm:sqref>H154:L154</xm:sqref>
        </x14:conditionalFormatting>
        <x14:conditionalFormatting xmlns:xm="http://schemas.microsoft.com/office/excel/2006/main">
          <x14:cfRule type="containsText" priority="7" operator="containsText" id="{005F44DA-8ED1-40F8-918F-95B50E2B411F}">
            <xm:f>NOT(ISERROR(SEARCH("grau",H155)))</xm:f>
            <xm:f>"grau"</xm:f>
            <x14:dxf>
              <font>
                <strike val="0"/>
                <color rgb="FF808080"/>
              </font>
              <fill>
                <patternFill>
                  <bgColor rgb="FF808080"/>
                </patternFill>
              </fill>
            </x14:dxf>
          </x14:cfRule>
          <xm:sqref>H155:L159</xm:sqref>
        </x14:conditionalFormatting>
        <x14:conditionalFormatting xmlns:xm="http://schemas.microsoft.com/office/excel/2006/main">
          <x14:cfRule type="containsText" priority="6" operator="containsText" id="{D6EE660F-1F85-498B-B195-794B81D7EA0E}">
            <xm:f>NOT(ISERROR(SEARCH("grau",H161)))</xm:f>
            <xm:f>"grau"</xm:f>
            <x14:dxf>
              <font>
                <color rgb="FF808080"/>
              </font>
              <fill>
                <patternFill>
                  <bgColor rgb="FF808080"/>
                </patternFill>
              </fill>
            </x14:dxf>
          </x14:cfRule>
          <xm:sqref>H161:L161</xm:sqref>
        </x14:conditionalFormatting>
        <x14:conditionalFormatting xmlns:xm="http://schemas.microsoft.com/office/excel/2006/main">
          <x14:cfRule type="containsText" priority="5" operator="containsText" id="{1D09D131-1670-48F3-9ABB-5C9A27C8CD32}">
            <xm:f>NOT(ISERROR(SEARCH("grau",H162)))</xm:f>
            <xm:f>"grau"</xm:f>
            <x14:dxf>
              <font>
                <strike val="0"/>
                <color rgb="FF808080"/>
              </font>
              <fill>
                <patternFill>
                  <bgColor rgb="FF808080"/>
                </patternFill>
              </fill>
            </x14:dxf>
          </x14:cfRule>
          <xm:sqref>H162:L166</xm:sqref>
        </x14:conditionalFormatting>
        <x14:conditionalFormatting xmlns:xm="http://schemas.microsoft.com/office/excel/2006/main">
          <x14:cfRule type="containsText" priority="4" operator="containsText" id="{0082BE03-A596-49DC-9BBD-A15A39603DAB}">
            <xm:f>NOT(ISERROR(SEARCH("grau",H168)))</xm:f>
            <xm:f>"grau"</xm:f>
            <x14:dxf>
              <font>
                <color rgb="FF808080"/>
              </font>
              <fill>
                <patternFill>
                  <bgColor rgb="FF808080"/>
                </patternFill>
              </fill>
            </x14:dxf>
          </x14:cfRule>
          <xm:sqref>H168:L168</xm:sqref>
        </x14:conditionalFormatting>
        <x14:conditionalFormatting xmlns:xm="http://schemas.microsoft.com/office/excel/2006/main">
          <x14:cfRule type="containsText" priority="3" operator="containsText" id="{DED33027-2ADF-45CB-9CF4-BE3D6D744524}">
            <xm:f>NOT(ISERROR(SEARCH("grau",H169)))</xm:f>
            <xm:f>"grau"</xm:f>
            <x14:dxf>
              <font>
                <strike val="0"/>
                <color rgb="FF808080"/>
              </font>
              <fill>
                <patternFill>
                  <bgColor rgb="FF808080"/>
                </patternFill>
              </fill>
            </x14:dxf>
          </x14:cfRule>
          <xm:sqref>H169:L173</xm:sqref>
        </x14:conditionalFormatting>
        <x14:conditionalFormatting xmlns:xm="http://schemas.microsoft.com/office/excel/2006/main">
          <x14:cfRule type="containsText" priority="2" operator="containsText" id="{6D6357F8-C7B5-406D-9C39-13A5AFFEF2ED}">
            <xm:f>NOT(ISERROR(SEARCH("grau",H175)))</xm:f>
            <xm:f>"grau"</xm:f>
            <x14:dxf>
              <font>
                <color rgb="FF808080"/>
              </font>
              <fill>
                <patternFill>
                  <bgColor rgb="FF808080"/>
                </patternFill>
              </fill>
            </x14:dxf>
          </x14:cfRule>
          <xm:sqref>H175:L175</xm:sqref>
        </x14:conditionalFormatting>
        <x14:conditionalFormatting xmlns:xm="http://schemas.microsoft.com/office/excel/2006/main">
          <x14:cfRule type="containsText" priority="1" operator="containsText" id="{3EC64251-44EC-4CE4-A3E0-EA72EF322F25}">
            <xm:f>NOT(ISERROR(SEARCH("grau",H176)))</xm:f>
            <xm:f>"grau"</xm:f>
            <x14:dxf>
              <font>
                <strike val="0"/>
                <color rgb="FF808080"/>
              </font>
              <fill>
                <patternFill>
                  <bgColor rgb="FF808080"/>
                </patternFill>
              </fill>
            </x14:dxf>
          </x14:cfRule>
          <xm:sqref>H176:L180</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Einstellungen!$C$10:$C$11</xm:f>
          </x14:formula1>
          <xm:sqref>I70:J70</xm:sqref>
        </x14:dataValidation>
        <x14:dataValidation type="list" allowBlank="1" showInputMessage="1" showErrorMessage="1">
          <x14:formula1>
            <xm:f>Einstellungen!$C$9:$C$11</xm:f>
          </x14:formula1>
          <xm:sqref>H9:L19 H105:L110 H21:L44 H63:L68 H70:L75 H77:L82 H84:L89 H91:L96 H98:L103 H112:L117 H119:L124 H126:L131 H133:L138 H140:L145 H147:L152 H154:L159 H161:L166 H168:L173 H175:L180 H46:L61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M218"/>
  <sheetViews>
    <sheetView zoomScale="80" zoomScaleNormal="80" zoomScaleSheetLayoutView="80" workbookViewId="0">
      <pane ySplit="7" topLeftCell="A8" activePane="bottomLeft" state="frozen"/>
      <selection activeCell="F178" sqref="F178"/>
      <selection pane="bottomLeft" activeCell="F33" sqref="F33"/>
    </sheetView>
  </sheetViews>
  <sheetFormatPr baseColWidth="10" defaultColWidth="8.88671875" defaultRowHeight="13.2" x14ac:dyDescent="0.25"/>
  <cols>
    <col min="1" max="1" width="1.109375" style="2" customWidth="1"/>
    <col min="2" max="2" width="8.6640625" style="89" customWidth="1"/>
    <col min="3" max="4" width="18.33203125" style="64" hidden="1" customWidth="1"/>
    <col min="5" max="5" width="12.6640625" style="65" customWidth="1"/>
    <col min="6" max="7" width="40.6640625" style="2" customWidth="1"/>
    <col min="8" max="10" width="9.6640625" style="2" customWidth="1"/>
    <col min="11" max="11" width="10.33203125" style="2" customWidth="1"/>
    <col min="12" max="12" width="10.6640625" style="2" customWidth="1"/>
    <col min="13" max="13" width="52.6640625" style="2" customWidth="1"/>
    <col min="14" max="14" width="1.109375" style="2" customWidth="1"/>
    <col min="15" max="16384" width="8.88671875" style="2"/>
  </cols>
  <sheetData>
    <row r="1" spans="2:13" s="10" customFormat="1" ht="6" customHeight="1" x14ac:dyDescent="0.3">
      <c r="B1" s="28"/>
      <c r="C1" s="16"/>
      <c r="D1" s="16"/>
      <c r="G1" s="16"/>
    </row>
    <row r="2" spans="2:13" s="37" customFormat="1" ht="18" customHeight="1" x14ac:dyDescent="0.3">
      <c r="B2" s="150" t="str">
        <f>"Checkliste "&amp;_RLV&amp;""</f>
        <v>Checkliste Mindestanforderungen Ferkelerzeugung und Ferkelaufzucht - erweitert</v>
      </c>
      <c r="C2" s="150"/>
      <c r="D2" s="150"/>
      <c r="E2" s="150"/>
      <c r="F2" s="150"/>
      <c r="G2" s="150"/>
      <c r="H2" s="150"/>
      <c r="I2" s="150"/>
      <c r="J2" s="150"/>
      <c r="K2" s="150"/>
      <c r="L2" s="150"/>
      <c r="M2" s="150"/>
    </row>
    <row r="3" spans="2:13" s="19" customFormat="1" ht="26.1" customHeight="1" x14ac:dyDescent="0.3">
      <c r="B3" s="180" t="s">
        <v>245</v>
      </c>
      <c r="C3" s="181"/>
      <c r="D3" s="181"/>
      <c r="E3" s="181"/>
      <c r="F3" s="181"/>
      <c r="G3" s="181"/>
      <c r="H3" s="181"/>
      <c r="I3" s="181"/>
      <c r="J3" s="181"/>
      <c r="K3" s="181"/>
      <c r="L3" s="181"/>
      <c r="M3" s="181"/>
    </row>
    <row r="4" spans="2:13" s="10" customFormat="1" ht="27" customHeight="1" x14ac:dyDescent="0.3">
      <c r="B4" s="83" t="s">
        <v>19</v>
      </c>
      <c r="C4" s="182"/>
      <c r="D4" s="182"/>
      <c r="E4" s="182"/>
      <c r="F4" s="182"/>
      <c r="G4" s="182"/>
      <c r="H4" s="182"/>
      <c r="I4" s="182"/>
      <c r="J4" s="182"/>
      <c r="K4" s="182"/>
      <c r="M4" s="77"/>
    </row>
    <row r="5" spans="2:13" ht="27" customHeight="1" x14ac:dyDescent="0.25">
      <c r="B5" s="162" t="s">
        <v>30</v>
      </c>
      <c r="C5" s="162"/>
      <c r="D5" s="162"/>
      <c r="E5" s="162"/>
      <c r="F5" s="162"/>
      <c r="G5" s="162"/>
      <c r="H5" s="162"/>
      <c r="I5" s="162"/>
      <c r="J5" s="162"/>
      <c r="K5" s="162"/>
      <c r="L5" s="162"/>
      <c r="M5" s="162"/>
    </row>
    <row r="6" spans="2:13" s="27" customFormat="1" ht="26.4" customHeight="1" x14ac:dyDescent="0.3">
      <c r="B6" s="183" t="s">
        <v>31</v>
      </c>
      <c r="C6" s="185" t="s">
        <v>44</v>
      </c>
      <c r="D6" s="185" t="s">
        <v>45</v>
      </c>
      <c r="E6" s="187" t="s">
        <v>32</v>
      </c>
      <c r="F6" s="185" t="s">
        <v>33</v>
      </c>
      <c r="G6" s="189" t="s">
        <v>34</v>
      </c>
      <c r="H6" s="191" t="s">
        <v>23</v>
      </c>
      <c r="I6" s="192"/>
      <c r="J6" s="192"/>
      <c r="K6" s="192"/>
      <c r="L6" s="193"/>
      <c r="M6" s="185" t="s">
        <v>83</v>
      </c>
    </row>
    <row r="7" spans="2:13" x14ac:dyDescent="0.25">
      <c r="B7" s="184"/>
      <c r="C7" s="186"/>
      <c r="D7" s="186"/>
      <c r="E7" s="188"/>
      <c r="F7" s="186"/>
      <c r="G7" s="190"/>
      <c r="H7" s="90" t="s">
        <v>37</v>
      </c>
      <c r="I7" s="90" t="s">
        <v>26</v>
      </c>
      <c r="J7" s="90" t="s">
        <v>27</v>
      </c>
      <c r="K7" s="90" t="s">
        <v>28</v>
      </c>
      <c r="L7" s="90" t="s">
        <v>290</v>
      </c>
      <c r="M7" s="186"/>
    </row>
    <row r="8" spans="2:13" s="26" customFormat="1" x14ac:dyDescent="0.25">
      <c r="B8" s="176" t="s">
        <v>317</v>
      </c>
      <c r="C8" s="177"/>
      <c r="D8" s="177"/>
      <c r="E8" s="177"/>
      <c r="F8" s="177"/>
      <c r="G8" s="177"/>
      <c r="H8" s="177"/>
      <c r="I8" s="177"/>
      <c r="J8" s="177"/>
      <c r="K8" s="177"/>
      <c r="L8" s="177"/>
      <c r="M8" s="178"/>
    </row>
    <row r="9" spans="2:13" ht="26.4" hidden="1" x14ac:dyDescent="0.25">
      <c r="B9" s="29" t="s">
        <v>31</v>
      </c>
      <c r="C9" s="35" t="s">
        <v>44</v>
      </c>
      <c r="D9" s="35" t="s">
        <v>45</v>
      </c>
      <c r="E9" s="41" t="s">
        <v>32</v>
      </c>
      <c r="F9" s="42" t="s">
        <v>33</v>
      </c>
      <c r="G9" s="43" t="s">
        <v>34</v>
      </c>
      <c r="H9" s="36" t="s">
        <v>23</v>
      </c>
      <c r="I9" s="36" t="s">
        <v>39</v>
      </c>
      <c r="J9" s="36" t="s">
        <v>40</v>
      </c>
      <c r="K9" s="36" t="s">
        <v>41</v>
      </c>
      <c r="L9" s="36" t="s">
        <v>42</v>
      </c>
      <c r="M9" s="30" t="s">
        <v>35</v>
      </c>
    </row>
    <row r="10" spans="2:13" s="62" customFormat="1" ht="90" customHeight="1" x14ac:dyDescent="0.25">
      <c r="B10" s="50" t="str">
        <f>CONCATENATE("4.",Prüfkriterien_142[[#This Row],[Hilfsspalte_Num]])</f>
        <v>4.1</v>
      </c>
      <c r="C10" s="51">
        <f>ROW()-ROW(Prüfkriterien_142[[#Headers],[Hilfsspalte_Kom]])</f>
        <v>1</v>
      </c>
      <c r="D10" s="52">
        <f>(Prüfkriterien_142[Hilfsspalte_Num]+10)/10</f>
        <v>1.1000000000000001</v>
      </c>
      <c r="E10" s="48" t="s">
        <v>213</v>
      </c>
      <c r="F10" s="32" t="s">
        <v>177</v>
      </c>
      <c r="G10" s="32" t="s">
        <v>166</v>
      </c>
      <c r="H10" s="38" t="s">
        <v>63</v>
      </c>
      <c r="I10" s="38"/>
      <c r="J10" s="38"/>
      <c r="K10" s="38"/>
      <c r="L10" s="38"/>
      <c r="M10" s="49"/>
    </row>
    <row r="11" spans="2:13" s="62" customFormat="1" ht="55.2" customHeight="1" x14ac:dyDescent="0.25">
      <c r="B11" s="50" t="str">
        <f>CONCATENATE("4.",Prüfkriterien_142[[#This Row],[Hilfsspalte_Num]])</f>
        <v>4.2</v>
      </c>
      <c r="C11" s="51">
        <f>ROW()-ROW(Prüfkriterien_142[[#Headers],[Hilfsspalte_Kom]])</f>
        <v>2</v>
      </c>
      <c r="D11" s="52">
        <f>(Prüfkriterien_142[Hilfsspalte_Num]+10)/10</f>
        <v>1.2</v>
      </c>
      <c r="E11" s="41" t="s">
        <v>213</v>
      </c>
      <c r="F11" s="42" t="s">
        <v>178</v>
      </c>
      <c r="G11" s="43" t="s">
        <v>247</v>
      </c>
      <c r="H11" s="38"/>
      <c r="I11" s="38"/>
      <c r="J11" s="38"/>
      <c r="K11" s="38"/>
      <c r="L11" s="38"/>
      <c r="M11" s="49"/>
    </row>
    <row r="12" spans="2:13" s="62" customFormat="1" ht="60" customHeight="1" x14ac:dyDescent="0.25">
      <c r="B12" s="92" t="str">
        <f>CONCATENATE("4.",Prüfkriterien_142[[#This Row],[Hilfsspalte_Num]])</f>
        <v>4.3</v>
      </c>
      <c r="C12" s="45">
        <f>ROW()-ROW(Prüfkriterien_142[[#Headers],[Hilfsspalte_Kom]])</f>
        <v>3</v>
      </c>
      <c r="D12" s="46">
        <f>(Prüfkriterien_142[Hilfsspalte_Num]+10)/10</f>
        <v>1.3</v>
      </c>
      <c r="E12" s="48" t="s">
        <v>213</v>
      </c>
      <c r="F12" s="32" t="s">
        <v>179</v>
      </c>
      <c r="G12" s="32" t="s">
        <v>167</v>
      </c>
      <c r="H12" s="33"/>
      <c r="I12" s="38"/>
      <c r="J12" s="38"/>
      <c r="K12" s="38"/>
      <c r="L12" s="38"/>
      <c r="M12" s="49"/>
    </row>
    <row r="13" spans="2:13" s="62" customFormat="1" ht="55.2" customHeight="1" x14ac:dyDescent="0.25">
      <c r="B13" s="92" t="str">
        <f>CONCATENATE("4.",Prüfkriterien_142[[#This Row],[Hilfsspalte_Num]])</f>
        <v>4.4</v>
      </c>
      <c r="C13" s="45">
        <f>ROW()-ROW(Prüfkriterien_142[[#Headers],[Hilfsspalte_Kom]])</f>
        <v>4</v>
      </c>
      <c r="D13" s="46">
        <f>(Prüfkriterien_142[Hilfsspalte_Num]+10)/10</f>
        <v>1.4</v>
      </c>
      <c r="E13" s="48" t="s">
        <v>213</v>
      </c>
      <c r="F13" s="32" t="s">
        <v>180</v>
      </c>
      <c r="G13" s="32"/>
      <c r="H13" s="33"/>
      <c r="I13" s="38"/>
      <c r="J13" s="38"/>
      <c r="K13" s="38"/>
      <c r="L13" s="38"/>
      <c r="M13" s="49"/>
    </row>
    <row r="14" spans="2:13" s="62" customFormat="1" ht="60" customHeight="1" x14ac:dyDescent="0.25">
      <c r="B14" s="50" t="str">
        <f>CONCATENATE("4.",Prüfkriterien_142[[#This Row],[Hilfsspalte_Num]])</f>
        <v>4.5</v>
      </c>
      <c r="C14" s="51">
        <f>ROW()-ROW(Prüfkriterien_142[[#Headers],[Hilfsspalte_Kom]])</f>
        <v>5</v>
      </c>
      <c r="D14" s="52">
        <f>(Prüfkriterien_142[Hilfsspalte_Num]+10)/10</f>
        <v>1.5</v>
      </c>
      <c r="E14" s="48" t="s">
        <v>213</v>
      </c>
      <c r="F14" s="105" t="s">
        <v>181</v>
      </c>
      <c r="G14" s="32"/>
      <c r="H14" s="38"/>
      <c r="I14" s="38"/>
      <c r="J14" s="38"/>
      <c r="K14" s="38"/>
      <c r="L14" s="38"/>
      <c r="M14" s="49"/>
    </row>
    <row r="15" spans="2:13" s="62" customFormat="1" ht="60" customHeight="1" x14ac:dyDescent="0.25">
      <c r="B15" s="92" t="str">
        <f>CONCATENATE("4.",Prüfkriterien_142[[#This Row],[Hilfsspalte_Num]])</f>
        <v>4.6</v>
      </c>
      <c r="C15" s="45">
        <f>ROW()-ROW(Prüfkriterien_142[[#Headers],[Hilfsspalte_Kom]])</f>
        <v>6</v>
      </c>
      <c r="D15" s="46">
        <f>(Prüfkriterien_142[Hilfsspalte_Num]+10)/10</f>
        <v>1.6</v>
      </c>
      <c r="E15" s="48" t="s">
        <v>237</v>
      </c>
      <c r="F15" s="48" t="s">
        <v>183</v>
      </c>
      <c r="G15" s="32"/>
      <c r="H15" s="33"/>
      <c r="I15" s="38"/>
      <c r="J15" s="38"/>
      <c r="K15" s="38"/>
      <c r="L15" s="38"/>
      <c r="M15" s="49"/>
    </row>
    <row r="16" spans="2:13" s="62" customFormat="1" ht="55.2" customHeight="1" x14ac:dyDescent="0.25">
      <c r="B16" s="66" t="str">
        <f>CONCATENATE("4.",Prüfkriterien_142[[#This Row],[Hilfsspalte_Num]])</f>
        <v>4.7</v>
      </c>
      <c r="C16" s="67">
        <f>ROW()-ROW(Prüfkriterien_142[[#Headers],[Hilfsspalte_Kom]])</f>
        <v>7</v>
      </c>
      <c r="D16" s="68">
        <f>(Prüfkriterien_142[Hilfsspalte_Num]+10)/10</f>
        <v>1.7</v>
      </c>
      <c r="E16" s="48" t="s">
        <v>237</v>
      </c>
      <c r="F16" s="106" t="s">
        <v>182</v>
      </c>
      <c r="G16" s="32"/>
      <c r="H16" s="70"/>
      <c r="I16" s="71"/>
      <c r="J16" s="71"/>
      <c r="K16" s="71"/>
      <c r="L16" s="71"/>
      <c r="M16" s="69"/>
    </row>
    <row r="17" spans="2:13" s="62" customFormat="1" ht="112.2" customHeight="1" x14ac:dyDescent="0.25">
      <c r="B17" s="50" t="str">
        <f>CONCATENATE("4.",Prüfkriterien_142[[#This Row],[Hilfsspalte_Num]])</f>
        <v>4.8</v>
      </c>
      <c r="C17" s="51">
        <f>ROW()-ROW(Prüfkriterien_142[[#Headers],[Hilfsspalte_Kom]])</f>
        <v>8</v>
      </c>
      <c r="D17" s="52">
        <f>(Prüfkriterien_142[Hilfsspalte_Num]+10)/10</f>
        <v>1.8</v>
      </c>
      <c r="E17" s="48" t="s">
        <v>237</v>
      </c>
      <c r="F17" s="32" t="s">
        <v>184</v>
      </c>
      <c r="G17" s="32" t="s">
        <v>281</v>
      </c>
      <c r="H17" s="38"/>
      <c r="I17" s="38"/>
      <c r="J17" s="38"/>
      <c r="K17" s="38"/>
      <c r="L17" s="38"/>
      <c r="M17" s="118"/>
    </row>
    <row r="18" spans="2:13" x14ac:dyDescent="0.25">
      <c r="B18" s="179" t="s">
        <v>318</v>
      </c>
      <c r="C18" s="179"/>
      <c r="D18" s="179"/>
      <c r="E18" s="179"/>
      <c r="F18" s="179"/>
      <c r="G18" s="179"/>
      <c r="H18" s="179"/>
      <c r="I18" s="179"/>
      <c r="J18" s="179"/>
      <c r="K18" s="179"/>
      <c r="L18" s="179"/>
      <c r="M18" s="179"/>
    </row>
    <row r="19" spans="2:13" s="53" customFormat="1" hidden="1" x14ac:dyDescent="0.25">
      <c r="B19" s="44" t="s">
        <v>39</v>
      </c>
      <c r="C19" s="45" t="s">
        <v>40</v>
      </c>
      <c r="D19" s="45" t="s">
        <v>41</v>
      </c>
      <c r="E19" s="31" t="s">
        <v>42</v>
      </c>
      <c r="F19" s="32" t="s">
        <v>43</v>
      </c>
      <c r="G19" s="32" t="s">
        <v>46</v>
      </c>
      <c r="H19" s="33" t="s">
        <v>47</v>
      </c>
      <c r="I19" s="33" t="s">
        <v>48</v>
      </c>
      <c r="J19" s="33" t="s">
        <v>49</v>
      </c>
      <c r="K19" s="33" t="s">
        <v>50</v>
      </c>
      <c r="L19" s="33" t="s">
        <v>51</v>
      </c>
      <c r="M19" s="34" t="s">
        <v>52</v>
      </c>
    </row>
    <row r="20" spans="2:13" s="53" customFormat="1" ht="55.95" customHeight="1" x14ac:dyDescent="0.25">
      <c r="B20" s="44" t="str">
        <f>CONCATENATE("5.",Prüfkriterien_243[[#This Row],[Spalte2]])</f>
        <v>5.1</v>
      </c>
      <c r="C20" s="45">
        <f>ROW()-ROW(Prüfkriterien_243[[#Headers],[Spalte3]])</f>
        <v>1</v>
      </c>
      <c r="D20" s="46">
        <f>(Prüfkriterien_243[[#This Row],[Spalte2]]+20)/10</f>
        <v>2.1</v>
      </c>
      <c r="E20" s="48" t="s">
        <v>213</v>
      </c>
      <c r="F20" s="43" t="s">
        <v>185</v>
      </c>
      <c r="G20" s="32" t="s">
        <v>168</v>
      </c>
      <c r="H20" s="70"/>
      <c r="I20" s="70"/>
      <c r="J20" s="70"/>
      <c r="K20" s="70"/>
      <c r="L20" s="70"/>
      <c r="M20" s="49"/>
    </row>
    <row r="21" spans="2:13" s="53" customFormat="1" ht="138" customHeight="1" x14ac:dyDescent="0.25">
      <c r="B21" s="44" t="str">
        <f>CONCATENATE("5.",Prüfkriterien_243[[#This Row],[Spalte2]])</f>
        <v>5.2</v>
      </c>
      <c r="C21" s="45">
        <f>ROW()-ROW(Prüfkriterien_243[[#Headers],[Spalte3]])</f>
        <v>2</v>
      </c>
      <c r="D21" s="46">
        <f>(Prüfkriterien_243[[#This Row],[Spalte2]]+20)/10</f>
        <v>2.2000000000000002</v>
      </c>
      <c r="E21" s="48" t="s">
        <v>213</v>
      </c>
      <c r="F21" s="43" t="s">
        <v>186</v>
      </c>
      <c r="G21" s="107" t="s">
        <v>169</v>
      </c>
      <c r="H21" s="33"/>
      <c r="I21" s="33"/>
      <c r="J21" s="33"/>
      <c r="K21" s="33"/>
      <c r="L21" s="33"/>
      <c r="M21" s="49"/>
    </row>
    <row r="22" spans="2:13" s="53" customFormat="1" ht="60" customHeight="1" x14ac:dyDescent="0.25">
      <c r="B22" s="44" t="str">
        <f>CONCATENATE("5.",Prüfkriterien_243[[#This Row],[Spalte2]])</f>
        <v>5.3</v>
      </c>
      <c r="C22" s="45">
        <f>ROW()-ROW(Prüfkriterien_243[[#Headers],[Spalte3]])</f>
        <v>3</v>
      </c>
      <c r="D22" s="46">
        <f>(Prüfkriterien_243[[#This Row],[Spalte2]]+20)/10</f>
        <v>2.2999999999999998</v>
      </c>
      <c r="E22" s="48" t="s">
        <v>213</v>
      </c>
      <c r="F22" s="43" t="s">
        <v>187</v>
      </c>
      <c r="G22" s="32"/>
      <c r="H22" s="33"/>
      <c r="I22" s="33"/>
      <c r="J22" s="33"/>
      <c r="K22" s="33"/>
      <c r="L22" s="33"/>
      <c r="M22" s="49"/>
    </row>
    <row r="23" spans="2:13" s="53" customFormat="1" ht="55.2" customHeight="1" x14ac:dyDescent="0.25">
      <c r="B23" s="44" t="str">
        <f>CONCATENATE("5.",Prüfkriterien_243[[#This Row],[Spalte2]])</f>
        <v>5.4</v>
      </c>
      <c r="C23" s="45">
        <f>ROW()-ROW(Prüfkriterien_243[[#Headers],[Spalte3]])</f>
        <v>4</v>
      </c>
      <c r="D23" s="46">
        <f>(Prüfkriterien_243[[#This Row],[Spalte2]]+20)/10</f>
        <v>2.4</v>
      </c>
      <c r="E23" s="48" t="s">
        <v>213</v>
      </c>
      <c r="F23" s="32" t="s">
        <v>269</v>
      </c>
      <c r="G23" s="32"/>
      <c r="H23" s="33"/>
      <c r="I23" s="33"/>
      <c r="J23" s="33"/>
      <c r="K23" s="33"/>
      <c r="L23" s="33"/>
      <c r="M23" s="49"/>
    </row>
    <row r="24" spans="2:13" s="53" customFormat="1" ht="55.2" customHeight="1" x14ac:dyDescent="0.25">
      <c r="B24" s="44" t="str">
        <f>CONCATENATE("5.",Prüfkriterien_243[[#This Row],[Spalte2]])</f>
        <v>5.5</v>
      </c>
      <c r="C24" s="45">
        <f>ROW()-ROW(Prüfkriterien_243[[#Headers],[Spalte3]])</f>
        <v>5</v>
      </c>
      <c r="D24" s="46">
        <f>(Prüfkriterien_243[[#This Row],[Spalte2]]+20)/10</f>
        <v>2.5</v>
      </c>
      <c r="E24" s="48" t="s">
        <v>213</v>
      </c>
      <c r="F24" s="43" t="s">
        <v>188</v>
      </c>
      <c r="G24" s="32"/>
      <c r="H24" s="33"/>
      <c r="I24" s="33"/>
      <c r="J24" s="33"/>
      <c r="K24" s="33"/>
      <c r="L24" s="33"/>
      <c r="M24" s="49"/>
    </row>
    <row r="25" spans="2:13" s="53" customFormat="1" ht="55.2" customHeight="1" x14ac:dyDescent="0.25">
      <c r="B25" s="44" t="str">
        <f>CONCATENATE("5.",Prüfkriterien_243[[#This Row],[Spalte2]])</f>
        <v>5.6</v>
      </c>
      <c r="C25" s="45">
        <f>ROW()-ROW(Prüfkriterien_243[[#Headers],[Spalte3]])</f>
        <v>6</v>
      </c>
      <c r="D25" s="46">
        <f>(Prüfkriterien_243[[#This Row],[Spalte2]]+20)/10</f>
        <v>2.6</v>
      </c>
      <c r="E25" s="48" t="s">
        <v>213</v>
      </c>
      <c r="F25" s="32" t="s">
        <v>189</v>
      </c>
      <c r="G25" s="32"/>
      <c r="H25" s="33"/>
      <c r="I25" s="33"/>
      <c r="J25" s="33"/>
      <c r="K25" s="33"/>
      <c r="L25" s="33"/>
      <c r="M25" s="49"/>
    </row>
    <row r="26" spans="2:13" s="53" customFormat="1" ht="55.2" customHeight="1" x14ac:dyDescent="0.25">
      <c r="B26" s="44" t="str">
        <f>CONCATENATE("5.",Prüfkriterien_243[[#This Row],[Spalte2]])</f>
        <v>5.7</v>
      </c>
      <c r="C26" s="45">
        <f>ROW()-ROW(Prüfkriterien_243[[#Headers],[Spalte3]])</f>
        <v>7</v>
      </c>
      <c r="D26" s="46">
        <f>(Prüfkriterien_243[[#This Row],[Spalte2]]+20)/10</f>
        <v>2.7</v>
      </c>
      <c r="E26" s="48" t="s">
        <v>213</v>
      </c>
      <c r="F26" s="32" t="s">
        <v>190</v>
      </c>
      <c r="G26" s="32" t="s">
        <v>270</v>
      </c>
      <c r="H26" s="33"/>
      <c r="I26" s="33"/>
      <c r="J26" s="33"/>
      <c r="K26" s="33"/>
      <c r="L26" s="33"/>
      <c r="M26" s="49"/>
    </row>
    <row r="27" spans="2:13" s="53" customFormat="1" ht="70.2" customHeight="1" x14ac:dyDescent="0.25">
      <c r="B27" s="56" t="str">
        <f>CONCATENATE("5.",Prüfkriterien_243[[#This Row],[Spalte2]])</f>
        <v>5.8</v>
      </c>
      <c r="C27" s="45">
        <f>ROW()-ROW(Prüfkriterien_243[[#Headers],[Spalte3]])</f>
        <v>8</v>
      </c>
      <c r="D27" s="46">
        <f>(Prüfkriterien_243[[#This Row],[Spalte2]]+20)/10</f>
        <v>2.8</v>
      </c>
      <c r="E27" s="48" t="s">
        <v>213</v>
      </c>
      <c r="F27" s="32" t="s">
        <v>191</v>
      </c>
      <c r="G27" s="32" t="s">
        <v>170</v>
      </c>
      <c r="H27" s="70"/>
      <c r="I27" s="70"/>
      <c r="J27" s="70"/>
      <c r="K27" s="70"/>
      <c r="L27" s="70"/>
      <c r="M27" s="87"/>
    </row>
    <row r="28" spans="2:13" s="53" customFormat="1" ht="72.75" customHeight="1" x14ac:dyDescent="0.25">
      <c r="B28" s="56" t="str">
        <f>CONCATENATE("5.",Prüfkriterien_243[[#This Row],[Spalte2]])</f>
        <v>5.9</v>
      </c>
      <c r="C28" s="45">
        <f>ROW()-ROW(Prüfkriterien_243[[#Headers],[Spalte3]])</f>
        <v>9</v>
      </c>
      <c r="D28" s="46">
        <f>(Prüfkriterien_243[[#This Row],[Spalte2]]+20)/10</f>
        <v>2.9</v>
      </c>
      <c r="E28" s="48" t="s">
        <v>213</v>
      </c>
      <c r="F28" s="32" t="s">
        <v>193</v>
      </c>
      <c r="G28" s="32"/>
      <c r="H28" s="70"/>
      <c r="I28" s="70"/>
      <c r="J28" s="70"/>
      <c r="K28" s="70"/>
      <c r="L28" s="70"/>
      <c r="M28" s="87"/>
    </row>
    <row r="29" spans="2:13" s="53" customFormat="1" ht="64.5" customHeight="1" x14ac:dyDescent="0.25">
      <c r="B29" s="56" t="str">
        <f>CONCATENATE("5.",Prüfkriterien_243[[#This Row],[Spalte2]])</f>
        <v>5.10</v>
      </c>
      <c r="C29" s="45">
        <f>ROW()-ROW(Prüfkriterien_243[[#Headers],[Spalte3]])</f>
        <v>10</v>
      </c>
      <c r="D29" s="46">
        <f>(Prüfkriterien_243[[#This Row],[Spalte2]]+20)/10</f>
        <v>3</v>
      </c>
      <c r="E29" s="48" t="s">
        <v>213</v>
      </c>
      <c r="F29" s="32" t="s">
        <v>192</v>
      </c>
      <c r="G29" s="32"/>
      <c r="H29" s="70"/>
      <c r="I29" s="70"/>
      <c r="J29" s="70"/>
      <c r="K29" s="70"/>
      <c r="L29" s="70"/>
      <c r="M29" s="87"/>
    </row>
    <row r="30" spans="2:13" s="53" customFormat="1" ht="60" customHeight="1" x14ac:dyDescent="0.25">
      <c r="B30" s="121" t="str">
        <f>CONCATENATE("5.",Prüfkriterien_243[[#This Row],[Spalte2]])</f>
        <v>5.11</v>
      </c>
      <c r="C30" s="127">
        <f>ROW()-ROW(Prüfkriterien_243[[#Headers],[Spalte3]])</f>
        <v>11</v>
      </c>
      <c r="D30" s="128">
        <f>(Prüfkriterien_243[[#This Row],[Spalte2]]+20)/10</f>
        <v>3.1</v>
      </c>
      <c r="E30" s="123" t="s">
        <v>213</v>
      </c>
      <c r="F30" s="124" t="s">
        <v>194</v>
      </c>
      <c r="G30" s="124"/>
      <c r="H30" s="125"/>
      <c r="I30" s="125"/>
      <c r="J30" s="125"/>
      <c r="K30" s="125"/>
      <c r="L30" s="125"/>
      <c r="M30" s="126"/>
    </row>
    <row r="31" spans="2:13" x14ac:dyDescent="0.25">
      <c r="B31" s="173" t="s">
        <v>319</v>
      </c>
      <c r="C31" s="174"/>
      <c r="D31" s="174"/>
      <c r="E31" s="174"/>
      <c r="F31" s="174"/>
      <c r="G31" s="174"/>
      <c r="H31" s="174"/>
      <c r="I31" s="174"/>
      <c r="J31" s="174"/>
      <c r="K31" s="174"/>
      <c r="L31" s="174"/>
      <c r="M31" s="175"/>
    </row>
    <row r="32" spans="2:13" s="53" customFormat="1" hidden="1" x14ac:dyDescent="0.25">
      <c r="B32" s="44" t="s">
        <v>39</v>
      </c>
      <c r="C32" s="45" t="s">
        <v>40</v>
      </c>
      <c r="D32" s="45" t="s">
        <v>41</v>
      </c>
      <c r="E32" s="31" t="s">
        <v>42</v>
      </c>
      <c r="F32" s="32" t="s">
        <v>43</v>
      </c>
      <c r="G32" s="32" t="s">
        <v>46</v>
      </c>
      <c r="H32" s="33" t="s">
        <v>47</v>
      </c>
      <c r="I32" s="33" t="s">
        <v>48</v>
      </c>
      <c r="J32" s="33" t="s">
        <v>49</v>
      </c>
      <c r="K32" s="33" t="s">
        <v>50</v>
      </c>
      <c r="L32" s="33" t="s">
        <v>51</v>
      </c>
      <c r="M32" s="34" t="s">
        <v>52</v>
      </c>
    </row>
    <row r="33" spans="2:13" s="53" customFormat="1" ht="55.2" customHeight="1" x14ac:dyDescent="0.25">
      <c r="B33" s="44" t="str">
        <f>CONCATENATE("6.",Prüfkriterien_344[[#This Row],[Spalte2]])</f>
        <v>6.1</v>
      </c>
      <c r="C33" s="45">
        <f>ROW()-ROW(Prüfkriterien_344[[#Headers],[Spalte3]])</f>
        <v>1</v>
      </c>
      <c r="D33" s="45">
        <f>(Prüfkriterien_344[[#This Row],[Spalte2]]+30)/10</f>
        <v>3.1</v>
      </c>
      <c r="E33" s="48" t="s">
        <v>213</v>
      </c>
      <c r="F33" s="32" t="s">
        <v>185</v>
      </c>
      <c r="G33" s="32"/>
      <c r="H33" s="33"/>
      <c r="I33" s="33"/>
      <c r="J33" s="33"/>
      <c r="K33" s="33"/>
      <c r="L33" s="33"/>
      <c r="M33" s="49"/>
    </row>
    <row r="34" spans="2:13" s="53" customFormat="1" ht="55.2" customHeight="1" x14ac:dyDescent="0.25">
      <c r="B34" s="44" t="str">
        <f>CONCATENATE("6.",Prüfkriterien_344[[#This Row],[Spalte2]])</f>
        <v>6.2</v>
      </c>
      <c r="C34" s="45">
        <f>ROW()-ROW(Prüfkriterien_344[[#Headers],[Spalte3]])</f>
        <v>2</v>
      </c>
      <c r="D34" s="45">
        <f>(Prüfkriterien_344[[#This Row],[Spalte2]]+30)/10</f>
        <v>3.2</v>
      </c>
      <c r="E34" s="48" t="s">
        <v>213</v>
      </c>
      <c r="F34" s="32" t="s">
        <v>186</v>
      </c>
      <c r="G34" s="105"/>
      <c r="H34" s="33"/>
      <c r="I34" s="33"/>
      <c r="J34" s="33"/>
      <c r="K34" s="33"/>
      <c r="L34" s="33"/>
      <c r="M34" s="49"/>
    </row>
    <row r="35" spans="2:13" s="53" customFormat="1" ht="60" customHeight="1" x14ac:dyDescent="0.25">
      <c r="B35" s="44" t="str">
        <f>CONCATENATE("6.",Prüfkriterien_344[[#This Row],[Spalte2]])</f>
        <v>6.3</v>
      </c>
      <c r="C35" s="45">
        <f>ROW()-ROW(Prüfkriterien_344[[#Headers],[Spalte3]])</f>
        <v>3</v>
      </c>
      <c r="D35" s="45">
        <f>(Prüfkriterien_344[[#This Row],[Spalte2]]+30)/10</f>
        <v>3.3</v>
      </c>
      <c r="E35" s="48" t="s">
        <v>213</v>
      </c>
      <c r="F35" s="32" t="s">
        <v>187</v>
      </c>
      <c r="G35" s="32"/>
      <c r="H35" s="33"/>
      <c r="I35" s="33"/>
      <c r="J35" s="33"/>
      <c r="K35" s="33"/>
      <c r="L35" s="33"/>
      <c r="M35" s="49"/>
    </row>
    <row r="36" spans="2:13" s="53" customFormat="1" ht="60" customHeight="1" x14ac:dyDescent="0.25">
      <c r="B36" s="44" t="str">
        <f>CONCATENATE("6.",Prüfkriterien_344[[#This Row],[Spalte2]])</f>
        <v>6.4</v>
      </c>
      <c r="C36" s="45">
        <f>ROW()-ROW(Prüfkriterien_344[[#Headers],[Spalte3]])</f>
        <v>4</v>
      </c>
      <c r="D36" s="45">
        <f>(Prüfkriterien_344[[#This Row],[Spalte2]]+30)/10</f>
        <v>3.4</v>
      </c>
      <c r="E36" s="48" t="s">
        <v>213</v>
      </c>
      <c r="F36" s="32" t="s">
        <v>269</v>
      </c>
      <c r="G36" s="32"/>
      <c r="H36" s="33"/>
      <c r="I36" s="33"/>
      <c r="J36" s="33"/>
      <c r="K36" s="33"/>
      <c r="L36" s="33"/>
      <c r="M36" s="49"/>
    </row>
    <row r="37" spans="2:13" s="53" customFormat="1" ht="60" customHeight="1" x14ac:dyDescent="0.25">
      <c r="B37" s="44" t="str">
        <f>CONCATENATE("6.",Prüfkriterien_344[[#This Row],[Spalte2]])</f>
        <v>6.5</v>
      </c>
      <c r="C37" s="45">
        <f>ROW()-ROW(Prüfkriterien_344[[#Headers],[Spalte3]])</f>
        <v>5</v>
      </c>
      <c r="D37" s="45">
        <f>(Prüfkriterien_344[[#This Row],[Spalte2]]+30)/10</f>
        <v>3.5</v>
      </c>
      <c r="E37" s="48" t="s">
        <v>213</v>
      </c>
      <c r="F37" s="32" t="s">
        <v>188</v>
      </c>
      <c r="G37" s="32"/>
      <c r="H37" s="33"/>
      <c r="I37" s="33"/>
      <c r="J37" s="33"/>
      <c r="K37" s="33"/>
      <c r="L37" s="33"/>
      <c r="M37" s="49"/>
    </row>
    <row r="38" spans="2:13" s="53" customFormat="1" ht="55.2" customHeight="1" x14ac:dyDescent="0.25">
      <c r="B38" s="44" t="str">
        <f>CONCATENATE("6.",Prüfkriterien_344[[#This Row],[Spalte2]])</f>
        <v>6.6</v>
      </c>
      <c r="C38" s="45">
        <f>ROW()-ROW(Prüfkriterien_344[[#Headers],[Spalte3]])</f>
        <v>6</v>
      </c>
      <c r="D38" s="45">
        <f>(Prüfkriterien_344[[#This Row],[Spalte2]]+30)/10</f>
        <v>3.6</v>
      </c>
      <c r="E38" s="48" t="s">
        <v>213</v>
      </c>
      <c r="F38" s="32" t="s">
        <v>189</v>
      </c>
      <c r="G38" s="32"/>
      <c r="H38" s="33"/>
      <c r="I38" s="33"/>
      <c r="J38" s="33"/>
      <c r="K38" s="33"/>
      <c r="L38" s="33"/>
      <c r="M38" s="118"/>
    </row>
    <row r="39" spans="2:13" s="53" customFormat="1" ht="60.75" customHeight="1" x14ac:dyDescent="0.25">
      <c r="B39" s="44" t="str">
        <f>CONCATENATE("6.",Prüfkriterien_344[[#This Row],[Spalte2]])</f>
        <v>6.7</v>
      </c>
      <c r="C39" s="45">
        <f>ROW()-ROW(Prüfkriterien_344[[#Headers],[Spalte3]])</f>
        <v>7</v>
      </c>
      <c r="D39" s="45">
        <f>(Prüfkriterien_344[[#This Row],[Spalte2]]+30)/10</f>
        <v>3.7</v>
      </c>
      <c r="E39" s="48" t="s">
        <v>213</v>
      </c>
      <c r="F39" s="32" t="s">
        <v>190</v>
      </c>
      <c r="G39" s="32" t="s">
        <v>270</v>
      </c>
      <c r="H39" s="70"/>
      <c r="I39" s="70"/>
      <c r="J39" s="70"/>
      <c r="K39" s="70"/>
      <c r="L39" s="70"/>
      <c r="M39" s="49"/>
    </row>
    <row r="40" spans="2:13" s="53" customFormat="1" ht="70.2" customHeight="1" x14ac:dyDescent="0.25">
      <c r="B40" s="56" t="str">
        <f>CONCATENATE("6.",Prüfkriterien_344[[#This Row],[Spalte2]])</f>
        <v>6.8</v>
      </c>
      <c r="C40" s="57">
        <f>ROW()-ROW(Prüfkriterien_344[[#Headers],[Spalte3]])</f>
        <v>8</v>
      </c>
      <c r="D40" s="57">
        <f>(Prüfkriterien_344[[#This Row],[Spalte2]]+30)/10</f>
        <v>3.8</v>
      </c>
      <c r="E40" s="48" t="s">
        <v>213</v>
      </c>
      <c r="F40" s="32" t="s">
        <v>191</v>
      </c>
      <c r="G40" s="32" t="s">
        <v>170</v>
      </c>
      <c r="H40" s="70"/>
      <c r="I40" s="70"/>
      <c r="J40" s="70"/>
      <c r="K40" s="70"/>
      <c r="L40" s="70"/>
      <c r="M40" s="87"/>
    </row>
    <row r="41" spans="2:13" s="53" customFormat="1" ht="75" customHeight="1" x14ac:dyDescent="0.25">
      <c r="B41" s="56" t="str">
        <f>CONCATENATE("6.",Prüfkriterien_344[[#This Row],[Spalte2]])</f>
        <v>6.9</v>
      </c>
      <c r="C41" s="57">
        <f>ROW()-ROW(Prüfkriterien_344[[#Headers],[Spalte3]])</f>
        <v>9</v>
      </c>
      <c r="D41" s="57">
        <f>(Prüfkriterien_344[[#This Row],[Spalte2]]+30)/10</f>
        <v>3.9</v>
      </c>
      <c r="E41" s="48" t="s">
        <v>213</v>
      </c>
      <c r="F41" s="105" t="s">
        <v>195</v>
      </c>
      <c r="G41" s="32"/>
      <c r="H41" s="70"/>
      <c r="I41" s="70"/>
      <c r="J41" s="70"/>
      <c r="K41" s="70"/>
      <c r="L41" s="70"/>
      <c r="M41" s="87"/>
    </row>
    <row r="42" spans="2:13" s="53" customFormat="1" ht="60" customHeight="1" x14ac:dyDescent="0.25">
      <c r="B42" s="56" t="str">
        <f>CONCATENATE("6.",Prüfkriterien_344[[#This Row],[Spalte2]])</f>
        <v>6.10</v>
      </c>
      <c r="C42" s="57">
        <f>ROW()-ROW(Prüfkriterien_344[[#Headers],[Spalte3]])</f>
        <v>10</v>
      </c>
      <c r="D42" s="57">
        <f>(Prüfkriterien_344[[#This Row],[Spalte2]]+30)/10</f>
        <v>4</v>
      </c>
      <c r="E42" s="48" t="s">
        <v>213</v>
      </c>
      <c r="F42" s="32" t="s">
        <v>192</v>
      </c>
      <c r="G42" s="32"/>
      <c r="H42" s="70"/>
      <c r="I42" s="70"/>
      <c r="J42" s="70"/>
      <c r="K42" s="70"/>
      <c r="L42" s="70"/>
      <c r="M42" s="87"/>
    </row>
    <row r="43" spans="2:13" s="53" customFormat="1" ht="62.25" customHeight="1" x14ac:dyDescent="0.25">
      <c r="B43" s="121" t="str">
        <f>CONCATENATE("6.",Prüfkriterien_344[[#This Row],[Spalte2]])</f>
        <v>6.11</v>
      </c>
      <c r="C43" s="122">
        <f>ROW()-ROW(Prüfkriterien_344[[#Headers],[Spalte3]])</f>
        <v>11</v>
      </c>
      <c r="D43" s="122">
        <f>(Prüfkriterien_344[[#This Row],[Spalte2]]+30)/10</f>
        <v>4.0999999999999996</v>
      </c>
      <c r="E43" s="123" t="s">
        <v>213</v>
      </c>
      <c r="F43" s="124" t="s">
        <v>194</v>
      </c>
      <c r="G43" s="124"/>
      <c r="H43" s="125"/>
      <c r="I43" s="125"/>
      <c r="J43" s="125"/>
      <c r="K43" s="125"/>
      <c r="L43" s="125"/>
      <c r="M43" s="126"/>
    </row>
    <row r="44" spans="2:13" x14ac:dyDescent="0.25">
      <c r="B44" s="194" t="s">
        <v>320</v>
      </c>
      <c r="C44" s="195"/>
      <c r="D44" s="195"/>
      <c r="E44" s="195"/>
      <c r="F44" s="195"/>
      <c r="G44" s="195"/>
      <c r="H44" s="195"/>
      <c r="I44" s="195"/>
      <c r="J44" s="195"/>
      <c r="K44" s="195"/>
      <c r="L44" s="195"/>
      <c r="M44" s="196"/>
    </row>
    <row r="45" spans="2:13" s="47" customFormat="1" hidden="1" x14ac:dyDescent="0.25">
      <c r="B45" s="44" t="s">
        <v>39</v>
      </c>
      <c r="C45" s="45" t="s">
        <v>40</v>
      </c>
      <c r="D45" s="45" t="s">
        <v>41</v>
      </c>
      <c r="E45" s="31" t="s">
        <v>42</v>
      </c>
      <c r="F45" s="32" t="s">
        <v>43</v>
      </c>
      <c r="G45" s="32" t="s">
        <v>46</v>
      </c>
      <c r="H45" s="33" t="s">
        <v>47</v>
      </c>
      <c r="I45" s="33" t="s">
        <v>48</v>
      </c>
      <c r="J45" s="33" t="s">
        <v>49</v>
      </c>
      <c r="K45" s="33" t="s">
        <v>50</v>
      </c>
      <c r="L45" s="33" t="s">
        <v>51</v>
      </c>
      <c r="M45" s="34" t="s">
        <v>52</v>
      </c>
    </row>
    <row r="46" spans="2:13" s="47" customFormat="1" ht="81" customHeight="1" x14ac:dyDescent="0.25">
      <c r="B46" s="44" t="str">
        <f>CONCATENATE("7.",Prüfkriterien_445[[#This Row],[Spalte2]])</f>
        <v>7.1</v>
      </c>
      <c r="C46" s="45">
        <f>ROW()-ROW(Prüfkriterien_445[[#Headers],[Spalte3]])</f>
        <v>1</v>
      </c>
      <c r="D46" s="45">
        <f>(Prüfkriterien_445[Spalte2]+40)/10</f>
        <v>4.0999999999999996</v>
      </c>
      <c r="E46" s="98" t="s">
        <v>214</v>
      </c>
      <c r="F46" s="43" t="s">
        <v>196</v>
      </c>
      <c r="G46" s="43" t="s">
        <v>251</v>
      </c>
      <c r="H46" s="33"/>
      <c r="I46" s="33"/>
      <c r="J46" s="33"/>
      <c r="K46" s="33"/>
      <c r="L46" s="33"/>
      <c r="M46" s="49"/>
    </row>
    <row r="47" spans="2:13" s="47" customFormat="1" ht="70.95" customHeight="1" x14ac:dyDescent="0.25">
      <c r="B47" s="44" t="str">
        <f>CONCATENATE("7.",Prüfkriterien_445[[#This Row],[Spalte2]])</f>
        <v>7.2</v>
      </c>
      <c r="C47" s="45">
        <f>ROW()-ROW(Prüfkriterien_445[[#Headers],[Spalte3]])</f>
        <v>2</v>
      </c>
      <c r="D47" s="45">
        <f>(Prüfkriterien_445[Spalte2]+40)/10</f>
        <v>4.2</v>
      </c>
      <c r="E47" s="98" t="s">
        <v>214</v>
      </c>
      <c r="F47" s="43" t="s">
        <v>252</v>
      </c>
      <c r="G47" s="43" t="s">
        <v>282</v>
      </c>
      <c r="H47" s="33"/>
      <c r="I47" s="33"/>
      <c r="J47" s="33"/>
      <c r="K47" s="33"/>
      <c r="L47" s="33"/>
      <c r="M47" s="118"/>
    </row>
    <row r="48" spans="2:13" s="47" customFormat="1" ht="61.2" customHeight="1" x14ac:dyDescent="0.25">
      <c r="B48" s="44" t="str">
        <f>CONCATENATE("7.",Prüfkriterien_445[[#This Row],[Spalte2]])</f>
        <v>7.3</v>
      </c>
      <c r="C48" s="45">
        <f>ROW()-ROW(Prüfkriterien_445[[#Headers],[Spalte3]])</f>
        <v>3</v>
      </c>
      <c r="D48" s="45">
        <f>(Prüfkriterien_445[Spalte2]+40)/10</f>
        <v>4.3</v>
      </c>
      <c r="E48" s="98" t="s">
        <v>215</v>
      </c>
      <c r="F48" s="43" t="s">
        <v>197</v>
      </c>
      <c r="G48" s="43"/>
      <c r="H48" s="33"/>
      <c r="I48" s="33"/>
      <c r="J48" s="33"/>
      <c r="K48" s="33"/>
      <c r="L48" s="33"/>
      <c r="M48" s="49"/>
    </row>
    <row r="49" spans="2:13" s="47" customFormat="1" ht="97.95" customHeight="1" x14ac:dyDescent="0.25">
      <c r="B49" s="44" t="str">
        <f>CONCATENATE("7.",Prüfkriterien_445[[#This Row],[Spalte2]])</f>
        <v>7.4</v>
      </c>
      <c r="C49" s="45">
        <f>ROW()-ROW(Prüfkriterien_445[[#Headers],[Spalte3]])</f>
        <v>4</v>
      </c>
      <c r="D49" s="45">
        <f>(Prüfkriterien_445[Spalte2]+40)/10</f>
        <v>4.4000000000000004</v>
      </c>
      <c r="E49" s="98" t="s">
        <v>215</v>
      </c>
      <c r="F49" s="43" t="s">
        <v>198</v>
      </c>
      <c r="G49" s="43"/>
      <c r="H49" s="33"/>
      <c r="I49" s="33"/>
      <c r="J49" s="33"/>
      <c r="K49" s="33"/>
      <c r="L49" s="33"/>
      <c r="M49" s="49"/>
    </row>
    <row r="50" spans="2:13" s="47" customFormat="1" ht="75" customHeight="1" x14ac:dyDescent="0.25">
      <c r="B50" s="44" t="str">
        <f>CONCATENATE("7.",Prüfkriterien_445[[#This Row],[Spalte2]])</f>
        <v>7.5</v>
      </c>
      <c r="C50" s="45">
        <f>ROW()-ROW(Prüfkriterien_445[[#Headers],[Spalte3]])</f>
        <v>5</v>
      </c>
      <c r="D50" s="45">
        <f>(Prüfkriterien_445[Spalte2]+40)/10</f>
        <v>4.5</v>
      </c>
      <c r="E50" s="98" t="s">
        <v>216</v>
      </c>
      <c r="F50" s="43" t="s">
        <v>153</v>
      </c>
      <c r="G50" s="43" t="s">
        <v>277</v>
      </c>
      <c r="H50" s="33"/>
      <c r="I50" s="33"/>
      <c r="J50" s="33"/>
      <c r="K50" s="33"/>
      <c r="L50" s="33"/>
      <c r="M50" s="49"/>
    </row>
    <row r="51" spans="2:13" s="47" customFormat="1" ht="64.95" customHeight="1" x14ac:dyDescent="0.25">
      <c r="B51" s="44" t="str">
        <f>CONCATENATE("7.",Prüfkriterien_445[[#This Row],[Spalte2]])</f>
        <v>7.6</v>
      </c>
      <c r="C51" s="45">
        <f>ROW()-ROW(Prüfkriterien_445[[#Headers],[Spalte3]])</f>
        <v>6</v>
      </c>
      <c r="D51" s="45">
        <f>(Prüfkriterien_445[Spalte2]+40)/10</f>
        <v>4.5999999999999996</v>
      </c>
      <c r="E51" s="98" t="s">
        <v>216</v>
      </c>
      <c r="F51" s="43" t="s">
        <v>199</v>
      </c>
      <c r="G51" s="43" t="s">
        <v>171</v>
      </c>
      <c r="H51" s="33"/>
      <c r="I51" s="33"/>
      <c r="J51" s="33"/>
      <c r="K51" s="33"/>
      <c r="L51" s="33"/>
      <c r="M51" s="49"/>
    </row>
    <row r="52" spans="2:13" s="47" customFormat="1" ht="64.95" customHeight="1" x14ac:dyDescent="0.25">
      <c r="B52" s="44" t="str">
        <f>CONCATENATE("7.",Prüfkriterien_445[[#This Row],[Spalte2]])</f>
        <v>7.7</v>
      </c>
      <c r="C52" s="45">
        <f>ROW()-ROW(Prüfkriterien_445[[#Headers],[Spalte3]])</f>
        <v>7</v>
      </c>
      <c r="D52" s="45">
        <f>(Prüfkriterien_445[Spalte2]+40)/10</f>
        <v>4.7</v>
      </c>
      <c r="E52" s="98" t="s">
        <v>216</v>
      </c>
      <c r="F52" s="43" t="s">
        <v>266</v>
      </c>
      <c r="G52" s="32"/>
      <c r="H52" s="33"/>
      <c r="I52" s="33"/>
      <c r="J52" s="33"/>
      <c r="K52" s="33"/>
      <c r="L52" s="33"/>
      <c r="M52" s="49"/>
    </row>
    <row r="53" spans="2:13" s="47" customFormat="1" ht="64.95" customHeight="1" x14ac:dyDescent="0.25">
      <c r="B53" s="44" t="str">
        <f>CONCATENATE("7.",Prüfkriterien_445[[#This Row],[Spalte2]])</f>
        <v>7.8</v>
      </c>
      <c r="C53" s="45">
        <f>ROW()-ROW(Prüfkriterien_445[[#Headers],[Spalte3]])</f>
        <v>8</v>
      </c>
      <c r="D53" s="45">
        <f>(Prüfkriterien_445[Spalte2]+40)/10</f>
        <v>4.8</v>
      </c>
      <c r="E53" s="98" t="s">
        <v>216</v>
      </c>
      <c r="F53" s="43" t="s">
        <v>271</v>
      </c>
      <c r="G53" s="32"/>
      <c r="H53" s="33"/>
      <c r="I53" s="33"/>
      <c r="J53" s="33"/>
      <c r="K53" s="33"/>
      <c r="L53" s="33"/>
      <c r="M53" s="49"/>
    </row>
    <row r="54" spans="2:13" s="47" customFormat="1" ht="64.95" customHeight="1" x14ac:dyDescent="0.25">
      <c r="B54" s="44" t="str">
        <f>CONCATENATE("7.",Prüfkriterien_445[[#This Row],[Spalte2]])</f>
        <v>7.9</v>
      </c>
      <c r="C54" s="45">
        <f>ROW()-ROW(Prüfkriterien_445[[#Headers],[Spalte3]])</f>
        <v>9</v>
      </c>
      <c r="D54" s="45">
        <f>(Prüfkriterien_445[Spalte2]+40)/10</f>
        <v>4.9000000000000004</v>
      </c>
      <c r="E54" s="98" t="s">
        <v>216</v>
      </c>
      <c r="F54" s="43" t="s">
        <v>272</v>
      </c>
      <c r="G54" s="32" t="s">
        <v>273</v>
      </c>
      <c r="H54" s="33"/>
      <c r="I54" s="33"/>
      <c r="J54" s="33"/>
      <c r="K54" s="33"/>
      <c r="L54" s="33"/>
      <c r="M54" s="49"/>
    </row>
    <row r="55" spans="2:13" s="47" customFormat="1" ht="64.95" customHeight="1" x14ac:dyDescent="0.25">
      <c r="B55" s="44" t="str">
        <f>CONCATENATE("7.",Prüfkriterien_445[[#This Row],[Spalte2]])</f>
        <v>7.10</v>
      </c>
      <c r="C55" s="45">
        <f>ROW()-ROW(Prüfkriterien_445[[#Headers],[Spalte3]])</f>
        <v>10</v>
      </c>
      <c r="D55" s="45">
        <f>(Prüfkriterien_445[Spalte2]+40)/10</f>
        <v>5</v>
      </c>
      <c r="E55" s="98" t="s">
        <v>216</v>
      </c>
      <c r="F55" s="32" t="s">
        <v>274</v>
      </c>
      <c r="G55" s="32"/>
      <c r="H55" s="33"/>
      <c r="I55" s="33"/>
      <c r="J55" s="33"/>
      <c r="K55" s="33"/>
      <c r="L55" s="33"/>
      <c r="M55" s="49"/>
    </row>
    <row r="56" spans="2:13" s="47" customFormat="1" ht="70.2" customHeight="1" x14ac:dyDescent="0.25">
      <c r="B56" s="44" t="str">
        <f>CONCATENATE("7.",Prüfkriterien_445[[#This Row],[Spalte2]])</f>
        <v>7.11</v>
      </c>
      <c r="C56" s="45">
        <f>ROW()-ROW(Prüfkriterien_445[[#Headers],[Spalte3]])</f>
        <v>11</v>
      </c>
      <c r="D56" s="45">
        <f>(Prüfkriterien_445[Spalte2]+40)/10</f>
        <v>5.0999999999999996</v>
      </c>
      <c r="E56" s="98" t="s">
        <v>217</v>
      </c>
      <c r="F56" s="43" t="s">
        <v>200</v>
      </c>
      <c r="G56" s="43" t="s">
        <v>283</v>
      </c>
      <c r="H56" s="33"/>
      <c r="I56" s="33"/>
      <c r="J56" s="33"/>
      <c r="K56" s="33"/>
      <c r="L56" s="33"/>
      <c r="M56" s="118"/>
    </row>
    <row r="57" spans="2:13" s="47" customFormat="1" ht="60" customHeight="1" x14ac:dyDescent="0.25">
      <c r="B57" s="44" t="str">
        <f>CONCATENATE("7.",Prüfkriterien_445[[#This Row],[Spalte2]])</f>
        <v>7.12</v>
      </c>
      <c r="C57" s="45">
        <f>ROW()-ROW(Prüfkriterien_445[[#Headers],[Spalte3]])</f>
        <v>12</v>
      </c>
      <c r="D57" s="45">
        <f>(Prüfkriterien_445[Spalte2]+40)/10</f>
        <v>5.2</v>
      </c>
      <c r="E57" s="98" t="s">
        <v>217</v>
      </c>
      <c r="F57" s="43" t="s">
        <v>201</v>
      </c>
      <c r="G57" s="43" t="s">
        <v>202</v>
      </c>
      <c r="H57" s="33"/>
      <c r="I57" s="33"/>
      <c r="J57" s="33"/>
      <c r="K57" s="33"/>
      <c r="L57" s="33"/>
      <c r="M57" s="49"/>
    </row>
    <row r="58" spans="2:13" s="47" customFormat="1" ht="130.19999999999999" customHeight="1" x14ac:dyDescent="0.25">
      <c r="B58" s="44" t="str">
        <f>CONCATENATE("7.",Prüfkriterien_445[[#This Row],[Spalte2]])</f>
        <v>7.13</v>
      </c>
      <c r="C58" s="45">
        <f>ROW()-ROW(Prüfkriterien_445[[#Headers],[Spalte3]])</f>
        <v>13</v>
      </c>
      <c r="D58" s="45">
        <f>(Prüfkriterien_445[Spalte2]+40)/10</f>
        <v>5.3</v>
      </c>
      <c r="E58" s="98" t="s">
        <v>217</v>
      </c>
      <c r="F58" s="43" t="s">
        <v>203</v>
      </c>
      <c r="G58" s="43" t="s">
        <v>173</v>
      </c>
      <c r="H58" s="33"/>
      <c r="I58" s="33"/>
      <c r="J58" s="33"/>
      <c r="K58" s="33"/>
      <c r="L58" s="33"/>
      <c r="M58" s="49"/>
    </row>
    <row r="59" spans="2:13" s="47" customFormat="1" ht="64.95" customHeight="1" x14ac:dyDescent="0.25">
      <c r="B59" s="44" t="str">
        <f>CONCATENATE("7.",Prüfkriterien_445[[#This Row],[Spalte2]])</f>
        <v>7.14</v>
      </c>
      <c r="C59" s="45">
        <f>ROW()-ROW(Prüfkriterien_445[[#Headers],[Spalte3]])</f>
        <v>14</v>
      </c>
      <c r="D59" s="45">
        <f>(Prüfkriterien_445[Spalte2]+40)/10</f>
        <v>5.4</v>
      </c>
      <c r="E59" s="31" t="s">
        <v>217</v>
      </c>
      <c r="F59" s="32" t="s">
        <v>204</v>
      </c>
      <c r="G59" s="32" t="s">
        <v>284</v>
      </c>
      <c r="H59" s="33"/>
      <c r="I59" s="33"/>
      <c r="J59" s="33"/>
      <c r="K59" s="33"/>
      <c r="L59" s="33"/>
      <c r="M59" s="118"/>
    </row>
    <row r="60" spans="2:13" s="47" customFormat="1" ht="109.95" customHeight="1" x14ac:dyDescent="0.25">
      <c r="B60" s="44" t="str">
        <f>CONCATENATE("7.",Prüfkriterien_445[[#This Row],[Spalte2]])</f>
        <v>7.15</v>
      </c>
      <c r="C60" s="45">
        <f>ROW()-ROW(Prüfkriterien_445[[#Headers],[Spalte3]])</f>
        <v>15</v>
      </c>
      <c r="D60" s="45">
        <f>(Prüfkriterien_445[Spalte2]+40)/10</f>
        <v>5.5</v>
      </c>
      <c r="E60" s="31" t="s">
        <v>218</v>
      </c>
      <c r="F60" s="32" t="s">
        <v>285</v>
      </c>
      <c r="G60" s="32"/>
      <c r="H60" s="33"/>
      <c r="I60" s="33"/>
      <c r="J60" s="33"/>
      <c r="K60" s="33"/>
      <c r="L60" s="33"/>
      <c r="M60" s="118"/>
    </row>
    <row r="61" spans="2:13" s="113" customFormat="1" ht="130.19999999999999" customHeight="1" x14ac:dyDescent="0.25">
      <c r="B61" s="108" t="str">
        <f>CONCATENATE("7.",Prüfkriterien_445[[#This Row],[Spalte2]])</f>
        <v>7.16</v>
      </c>
      <c r="C61" s="109">
        <f>ROW()-ROW(Prüfkriterien_445[[#Headers],[Spalte3]])</f>
        <v>16</v>
      </c>
      <c r="D61" s="109">
        <f>(Prüfkriterien_445[Spalte2]+40)/10</f>
        <v>5.6</v>
      </c>
      <c r="E61" s="110" t="s">
        <v>218</v>
      </c>
      <c r="F61" s="105" t="s">
        <v>234</v>
      </c>
      <c r="G61" s="105" t="s">
        <v>275</v>
      </c>
      <c r="H61" s="111"/>
      <c r="I61" s="111"/>
      <c r="J61" s="111"/>
      <c r="K61" s="111"/>
      <c r="L61" s="111"/>
      <c r="M61" s="112"/>
    </row>
    <row r="62" spans="2:13" s="47" customFormat="1" ht="60" customHeight="1" x14ac:dyDescent="0.25">
      <c r="B62" s="44" t="str">
        <f>CONCATENATE("7.",Prüfkriterien_445[[#This Row],[Spalte2]])</f>
        <v>7.17</v>
      </c>
      <c r="C62" s="45">
        <f>ROW()-ROW(Prüfkriterien_445[[#Headers],[Spalte3]])</f>
        <v>17</v>
      </c>
      <c r="D62" s="45">
        <f>(Prüfkriterien_445[Spalte2]+40)/10</f>
        <v>5.7</v>
      </c>
      <c r="E62" s="31" t="s">
        <v>218</v>
      </c>
      <c r="F62" s="32" t="s">
        <v>205</v>
      </c>
      <c r="G62" s="32"/>
      <c r="H62" s="33"/>
      <c r="I62" s="33"/>
      <c r="J62" s="33"/>
      <c r="K62" s="33"/>
      <c r="L62" s="33"/>
      <c r="M62" s="49"/>
    </row>
    <row r="63" spans="2:13" s="47" customFormat="1" ht="60" customHeight="1" x14ac:dyDescent="0.25">
      <c r="B63" s="44" t="str">
        <f>CONCATENATE("7.",Prüfkriterien_445[[#This Row],[Spalte2]])</f>
        <v>7.18</v>
      </c>
      <c r="C63" s="45">
        <f>ROW()-ROW(Prüfkriterien_445[[#Headers],[Spalte3]])</f>
        <v>18</v>
      </c>
      <c r="D63" s="45">
        <f>(Prüfkriterien_445[Spalte2]+40)/10</f>
        <v>5.8</v>
      </c>
      <c r="E63" s="31" t="s">
        <v>218</v>
      </c>
      <c r="F63" s="32" t="s">
        <v>253</v>
      </c>
      <c r="G63" s="32" t="s">
        <v>174</v>
      </c>
      <c r="H63" s="33"/>
      <c r="I63" s="33"/>
      <c r="J63" s="33"/>
      <c r="K63" s="33"/>
      <c r="L63" s="33"/>
      <c r="M63" s="49"/>
    </row>
    <row r="64" spans="2:13" s="47" customFormat="1" ht="60" customHeight="1" x14ac:dyDescent="0.25">
      <c r="B64" s="44" t="str">
        <f>CONCATENATE("7.",Prüfkriterien_445[[#This Row],[Spalte2]])</f>
        <v>7.19</v>
      </c>
      <c r="C64" s="45">
        <f>ROW()-ROW(Prüfkriterien_445[[#Headers],[Spalte3]])</f>
        <v>19</v>
      </c>
      <c r="D64" s="45">
        <f>(Prüfkriterien_445[Spalte2]+40)/10</f>
        <v>5.9</v>
      </c>
      <c r="E64" s="31" t="s">
        <v>218</v>
      </c>
      <c r="F64" s="32" t="s">
        <v>206</v>
      </c>
      <c r="G64" s="32"/>
      <c r="H64" s="33"/>
      <c r="I64" s="33"/>
      <c r="J64" s="33"/>
      <c r="K64" s="33"/>
      <c r="L64" s="33"/>
      <c r="M64" s="49"/>
    </row>
    <row r="65" spans="2:13" s="47" customFormat="1" ht="57.75" customHeight="1" x14ac:dyDescent="0.25">
      <c r="B65" s="44" t="str">
        <f>CONCATENATE("7.",Prüfkriterien_445[[#This Row],[Spalte2]])</f>
        <v>7.20</v>
      </c>
      <c r="C65" s="45">
        <f>ROW()-ROW(Prüfkriterien_445[[#Headers],[Spalte3]])</f>
        <v>20</v>
      </c>
      <c r="D65" s="45">
        <f>(Prüfkriterien_445[Spalte2]+40)/10</f>
        <v>6</v>
      </c>
      <c r="E65" s="31" t="s">
        <v>218</v>
      </c>
      <c r="F65" s="32" t="s">
        <v>254</v>
      </c>
      <c r="G65" s="32" t="s">
        <v>298</v>
      </c>
      <c r="H65" s="33"/>
      <c r="I65" s="33"/>
      <c r="J65" s="33"/>
      <c r="K65" s="33"/>
      <c r="L65" s="33"/>
      <c r="M65" s="118"/>
    </row>
    <row r="66" spans="2:13" s="47" customFormat="1" ht="60" customHeight="1" x14ac:dyDescent="0.25">
      <c r="B66" s="44" t="str">
        <f>CONCATENATE("7.",Prüfkriterien_445[[#This Row],[Spalte2]])</f>
        <v>7.21</v>
      </c>
      <c r="C66" s="45">
        <f>ROW()-ROW(Prüfkriterien_445[[#Headers],[Spalte3]])</f>
        <v>21</v>
      </c>
      <c r="D66" s="45">
        <f>(Prüfkriterien_445[Spalte2]+40)/10</f>
        <v>6.1</v>
      </c>
      <c r="E66" s="31" t="s">
        <v>218</v>
      </c>
      <c r="F66" s="32" t="s">
        <v>207</v>
      </c>
      <c r="G66" s="32"/>
      <c r="H66" s="33"/>
      <c r="I66" s="33"/>
      <c r="J66" s="33"/>
      <c r="K66" s="33"/>
      <c r="L66" s="33"/>
      <c r="M66" s="49"/>
    </row>
    <row r="67" spans="2:13" s="47" customFormat="1" ht="138" customHeight="1" x14ac:dyDescent="0.25">
      <c r="B67" s="44" t="str">
        <f>CONCATENATE("7.",Prüfkriterien_445[[#This Row],[Spalte2]])</f>
        <v>7.22</v>
      </c>
      <c r="C67" s="45">
        <f>ROW()-ROW(Prüfkriterien_445[[#Headers],[Spalte3]])</f>
        <v>22</v>
      </c>
      <c r="D67" s="45">
        <f>(Prüfkriterien_445[Spalte2]+40)/10</f>
        <v>6.2</v>
      </c>
      <c r="E67" s="31" t="s">
        <v>218</v>
      </c>
      <c r="F67" s="32" t="s">
        <v>286</v>
      </c>
      <c r="G67" s="32" t="s">
        <v>175</v>
      </c>
      <c r="H67" s="33"/>
      <c r="I67" s="33"/>
      <c r="J67" s="33"/>
      <c r="K67" s="33"/>
      <c r="L67" s="33"/>
      <c r="M67" s="118"/>
    </row>
    <row r="68" spans="2:13" s="47" customFormat="1" ht="271.5" customHeight="1" x14ac:dyDescent="0.25">
      <c r="B68" s="44" t="str">
        <f>CONCATENATE("7.",Prüfkriterien_445[[#This Row],[Spalte2]])</f>
        <v>7.23</v>
      </c>
      <c r="C68" s="45">
        <f>ROW()-ROW(Prüfkriterien_445[[#Headers],[Spalte3]])</f>
        <v>23</v>
      </c>
      <c r="D68" s="45">
        <f>(Prüfkriterien_445[Spalte2]+40)/10</f>
        <v>6.3</v>
      </c>
      <c r="E68" s="31" t="s">
        <v>218</v>
      </c>
      <c r="F68" s="32" t="s">
        <v>208</v>
      </c>
      <c r="G68" s="32" t="s">
        <v>288</v>
      </c>
      <c r="H68" s="33"/>
      <c r="I68" s="33"/>
      <c r="J68" s="33"/>
      <c r="K68" s="33"/>
      <c r="L68" s="33"/>
      <c r="M68" s="118"/>
    </row>
    <row r="69" spans="2:13" s="47" customFormat="1" ht="121.95" customHeight="1" x14ac:dyDescent="0.25">
      <c r="B69" s="44" t="str">
        <f>CONCATENATE("7.",Prüfkriterien_445[[#This Row],[Spalte2]])</f>
        <v>7.24</v>
      </c>
      <c r="C69" s="45">
        <f>ROW()-ROW(Prüfkriterien_445[[#Headers],[Spalte3]])</f>
        <v>24</v>
      </c>
      <c r="D69" s="45">
        <f>(Prüfkriterien_445[Spalte2]+40)/10</f>
        <v>6.4</v>
      </c>
      <c r="E69" s="31" t="s">
        <v>219</v>
      </c>
      <c r="F69" s="32" t="s">
        <v>225</v>
      </c>
      <c r="G69" s="32" t="s">
        <v>289</v>
      </c>
      <c r="H69" s="33"/>
      <c r="I69" s="33"/>
      <c r="J69" s="33"/>
      <c r="K69" s="33"/>
      <c r="L69" s="33"/>
      <c r="M69" s="118"/>
    </row>
    <row r="70" spans="2:13" s="47" customFormat="1" ht="60" customHeight="1" x14ac:dyDescent="0.25">
      <c r="B70" s="44" t="str">
        <f>CONCATENATE("7.",Prüfkriterien_445[[#This Row],[Spalte2]])</f>
        <v>7.25</v>
      </c>
      <c r="C70" s="45">
        <f>ROW()-ROW(Prüfkriterien_445[[#Headers],[Spalte3]])</f>
        <v>25</v>
      </c>
      <c r="D70" s="45">
        <f>(Prüfkriterien_445[Spalte2]+40)/10</f>
        <v>6.5</v>
      </c>
      <c r="E70" s="31" t="s">
        <v>220</v>
      </c>
      <c r="F70" s="32" t="s">
        <v>249</v>
      </c>
      <c r="G70" s="32" t="s">
        <v>293</v>
      </c>
      <c r="H70" s="33"/>
      <c r="I70" s="33"/>
      <c r="J70" s="33"/>
      <c r="K70" s="33"/>
      <c r="L70" s="33"/>
      <c r="M70" s="118"/>
    </row>
    <row r="71" spans="2:13" s="47" customFormat="1" ht="60" customHeight="1" x14ac:dyDescent="0.25">
      <c r="B71" s="44" t="str">
        <f>CONCATENATE("7.",Prüfkriterien_445[[#This Row],[Spalte2]])</f>
        <v>7.26</v>
      </c>
      <c r="C71" s="45">
        <f>ROW()-ROW(Prüfkriterien_445[[#Headers],[Spalte3]])</f>
        <v>26</v>
      </c>
      <c r="D71" s="45">
        <f>(Prüfkriterien_445[Spalte2]+40)/10</f>
        <v>6.6</v>
      </c>
      <c r="E71" s="31" t="s">
        <v>220</v>
      </c>
      <c r="F71" s="32" t="s">
        <v>250</v>
      </c>
      <c r="G71" s="32" t="s">
        <v>297</v>
      </c>
      <c r="H71" s="33"/>
      <c r="I71" s="33"/>
      <c r="J71" s="33"/>
      <c r="K71" s="33"/>
      <c r="L71" s="33"/>
      <c r="M71" s="118"/>
    </row>
    <row r="72" spans="2:13" s="47" customFormat="1" ht="137.4" customHeight="1" x14ac:dyDescent="0.25">
      <c r="B72" s="44" t="str">
        <f>CONCATENATE("7.",Prüfkriterien_445[[#This Row],[Spalte2]])</f>
        <v>7.27</v>
      </c>
      <c r="C72" s="45">
        <f>ROW()-ROW(Prüfkriterien_445[[#Headers],[Spalte3]])</f>
        <v>27</v>
      </c>
      <c r="D72" s="45">
        <f>(Prüfkriterien_445[Spalte2]+40)/10</f>
        <v>6.7</v>
      </c>
      <c r="E72" s="31" t="s">
        <v>221</v>
      </c>
      <c r="F72" s="32" t="s">
        <v>229</v>
      </c>
      <c r="G72" s="32" t="s">
        <v>296</v>
      </c>
      <c r="H72" s="33"/>
      <c r="I72" s="33"/>
      <c r="J72" s="33"/>
      <c r="K72" s="33"/>
      <c r="L72" s="33"/>
      <c r="M72" s="118"/>
    </row>
    <row r="73" spans="2:13" s="47" customFormat="1" ht="60" customHeight="1" x14ac:dyDescent="0.25">
      <c r="B73" s="44" t="str">
        <f>CONCATENATE("7.",Prüfkriterien_445[[#This Row],[Spalte2]])</f>
        <v>7.28</v>
      </c>
      <c r="C73" s="45">
        <f>ROW()-ROW(Prüfkriterien_445[[#Headers],[Spalte3]])</f>
        <v>28</v>
      </c>
      <c r="D73" s="45">
        <f>(Prüfkriterien_445[Spalte2]+40)/10</f>
        <v>6.8</v>
      </c>
      <c r="E73" s="31" t="s">
        <v>222</v>
      </c>
      <c r="F73" s="32" t="s">
        <v>242</v>
      </c>
      <c r="G73" s="32"/>
      <c r="H73" s="70"/>
      <c r="I73" s="70"/>
      <c r="J73" s="70"/>
      <c r="K73" s="70"/>
      <c r="L73" s="70"/>
      <c r="M73" s="49"/>
    </row>
    <row r="74" spans="2:13" s="47" customFormat="1" ht="60" customHeight="1" x14ac:dyDescent="0.25">
      <c r="B74" s="56" t="str">
        <f>CONCATENATE("7.",Prüfkriterien_445[[#This Row],[Spalte2]])</f>
        <v>7.29</v>
      </c>
      <c r="C74" s="57">
        <f>ROW()-ROW(Prüfkriterien_445[[#Headers],[Spalte3]])</f>
        <v>29</v>
      </c>
      <c r="D74" s="57">
        <f>(Prüfkriterien_445[Spalte2]+40)/10</f>
        <v>6.9</v>
      </c>
      <c r="E74" s="31" t="s">
        <v>222</v>
      </c>
      <c r="F74" s="32" t="s">
        <v>248</v>
      </c>
      <c r="G74" s="32" t="s">
        <v>299</v>
      </c>
      <c r="H74" s="70"/>
      <c r="I74" s="70"/>
      <c r="J74" s="70"/>
      <c r="K74" s="70"/>
      <c r="L74" s="70"/>
      <c r="M74" s="118"/>
    </row>
    <row r="75" spans="2:13" s="47" customFormat="1" ht="70.2" customHeight="1" x14ac:dyDescent="0.25">
      <c r="B75" s="56" t="str">
        <f>CONCATENATE("7.",Prüfkriterien_445[[#This Row],[Spalte2]])</f>
        <v>7.30</v>
      </c>
      <c r="C75" s="57">
        <f>ROW()-ROW(Prüfkriterien_445[[#Headers],[Spalte3]])</f>
        <v>30</v>
      </c>
      <c r="D75" s="57">
        <f>(Prüfkriterien_445[Spalte2]+40)/10</f>
        <v>7</v>
      </c>
      <c r="E75" s="31" t="s">
        <v>222</v>
      </c>
      <c r="F75" s="32" t="s">
        <v>209</v>
      </c>
      <c r="G75" s="32" t="s">
        <v>211</v>
      </c>
      <c r="H75" s="70"/>
      <c r="I75" s="70"/>
      <c r="J75" s="70"/>
      <c r="K75" s="70"/>
      <c r="L75" s="70"/>
      <c r="M75" s="87"/>
    </row>
    <row r="76" spans="2:13" s="47" customFormat="1" ht="201" customHeight="1" x14ac:dyDescent="0.25">
      <c r="B76" s="44" t="str">
        <f>CONCATENATE("7.",Prüfkriterien_445[[#This Row],[Spalte2]])</f>
        <v>7.31</v>
      </c>
      <c r="C76" s="45">
        <f>ROW()-ROW(Prüfkriterien_445[[#Headers],[Spalte3]])</f>
        <v>31</v>
      </c>
      <c r="D76" s="45">
        <f>(Prüfkriterien_445[Spalte2]+40)/10</f>
        <v>7.1</v>
      </c>
      <c r="E76" s="31" t="s">
        <v>223</v>
      </c>
      <c r="F76" s="32" t="s">
        <v>210</v>
      </c>
      <c r="G76" s="32" t="s">
        <v>243</v>
      </c>
      <c r="H76" s="33"/>
      <c r="I76" s="33"/>
      <c r="J76" s="33"/>
      <c r="K76" s="33"/>
      <c r="L76" s="33"/>
      <c r="M76" s="49"/>
    </row>
    <row r="77" spans="2:13" s="47" customFormat="1" ht="79.95" customHeight="1" x14ac:dyDescent="0.25">
      <c r="B77" s="56" t="str">
        <f>CONCATENATE("7.",Prüfkriterien_445[[#This Row],[Spalte2]])</f>
        <v>7.32</v>
      </c>
      <c r="C77" s="57">
        <f>ROW()-ROW(Prüfkriterien_445[[#Headers],[Spalte3]])</f>
        <v>32</v>
      </c>
      <c r="D77" s="57">
        <f>(Prüfkriterien_445[Spalte2]+40)/10</f>
        <v>7.2</v>
      </c>
      <c r="E77" s="31" t="s">
        <v>223</v>
      </c>
      <c r="F77" s="32" t="s">
        <v>148</v>
      </c>
      <c r="G77" s="32" t="s">
        <v>149</v>
      </c>
      <c r="H77" s="70"/>
      <c r="I77" s="70"/>
      <c r="J77" s="70"/>
      <c r="K77" s="70"/>
      <c r="L77" s="70"/>
      <c r="M77" s="87"/>
    </row>
    <row r="78" spans="2:13" s="47" customFormat="1" ht="60" customHeight="1" x14ac:dyDescent="0.25">
      <c r="B78" s="56" t="str">
        <f>CONCATENATE("7.",Prüfkriterien_445[[#This Row],[Spalte2]])</f>
        <v>7.33</v>
      </c>
      <c r="C78" s="57">
        <f>ROW()-ROW(Prüfkriterien_445[[#Headers],[Spalte3]])</f>
        <v>33</v>
      </c>
      <c r="D78" s="57">
        <f>(Prüfkriterien_445[Spalte2]+40)/10</f>
        <v>7.3</v>
      </c>
      <c r="E78" s="31" t="s">
        <v>223</v>
      </c>
      <c r="F78" s="32" t="s">
        <v>150</v>
      </c>
      <c r="G78" s="32" t="s">
        <v>176</v>
      </c>
      <c r="H78" s="70"/>
      <c r="I78" s="70"/>
      <c r="J78" s="70"/>
      <c r="K78" s="70"/>
      <c r="L78" s="70"/>
      <c r="M78" s="87"/>
    </row>
    <row r="79" spans="2:13" x14ac:dyDescent="0.25">
      <c r="B79" s="173" t="s">
        <v>321</v>
      </c>
      <c r="C79" s="174"/>
      <c r="D79" s="174"/>
      <c r="E79" s="174"/>
      <c r="F79" s="174"/>
      <c r="G79" s="174"/>
      <c r="H79" s="174"/>
      <c r="I79" s="174"/>
      <c r="J79" s="174"/>
      <c r="K79" s="174"/>
      <c r="L79" s="174"/>
      <c r="M79" s="175"/>
    </row>
    <row r="80" spans="2:13" s="47" customFormat="1" hidden="1" x14ac:dyDescent="0.25">
      <c r="B80" s="44" t="s">
        <v>39</v>
      </c>
      <c r="C80" s="45" t="s">
        <v>40</v>
      </c>
      <c r="D80" s="45" t="s">
        <v>41</v>
      </c>
      <c r="E80" s="31" t="s">
        <v>42</v>
      </c>
      <c r="F80" s="32" t="s">
        <v>43</v>
      </c>
      <c r="G80" s="32" t="s">
        <v>46</v>
      </c>
      <c r="H80" s="33" t="s">
        <v>47</v>
      </c>
      <c r="I80" s="33" t="s">
        <v>48</v>
      </c>
      <c r="J80" s="33" t="s">
        <v>49</v>
      </c>
      <c r="K80" s="33" t="s">
        <v>50</v>
      </c>
      <c r="L80" s="33" t="s">
        <v>51</v>
      </c>
      <c r="M80" s="34" t="s">
        <v>52</v>
      </c>
    </row>
    <row r="81" spans="2:13" s="47" customFormat="1" ht="79.95" customHeight="1" x14ac:dyDescent="0.25">
      <c r="B81" s="44" t="str">
        <f>CONCATENATE("8.",Prüfkriterien_546[[#This Row],[Spalte2]])</f>
        <v>8.1</v>
      </c>
      <c r="C81" s="45">
        <f>ROW()-ROW(Prüfkriterien_546[[#Headers],[Spalte3]])</f>
        <v>1</v>
      </c>
      <c r="D81" s="45">
        <f>(Prüfkriterien_546[Spalte2]+50)/10</f>
        <v>5.0999999999999996</v>
      </c>
      <c r="E81" s="98" t="s">
        <v>214</v>
      </c>
      <c r="F81" s="43" t="s">
        <v>196</v>
      </c>
      <c r="G81" s="43" t="s">
        <v>251</v>
      </c>
      <c r="H81" s="33"/>
      <c r="I81" s="33"/>
      <c r="J81" s="33"/>
      <c r="K81" s="33"/>
      <c r="L81" s="33"/>
      <c r="M81" s="49"/>
    </row>
    <row r="82" spans="2:13" s="47" customFormat="1" ht="70.2" customHeight="1" x14ac:dyDescent="0.25">
      <c r="B82" s="44" t="str">
        <f>CONCATENATE("8.",Prüfkriterien_546[[#This Row],[Spalte2]])</f>
        <v>8.2</v>
      </c>
      <c r="C82" s="45">
        <f>ROW()-ROW(Prüfkriterien_546[[#Headers],[Spalte3]])</f>
        <v>2</v>
      </c>
      <c r="D82" s="45">
        <f>(Prüfkriterien_546[Spalte2]+50)/10</f>
        <v>5.2</v>
      </c>
      <c r="E82" s="98" t="s">
        <v>214</v>
      </c>
      <c r="F82" s="43" t="s">
        <v>252</v>
      </c>
      <c r="G82" s="43" t="s">
        <v>282</v>
      </c>
      <c r="H82" s="33"/>
      <c r="I82" s="33"/>
      <c r="J82" s="33"/>
      <c r="K82" s="33"/>
      <c r="L82" s="33"/>
      <c r="M82" s="118"/>
    </row>
    <row r="83" spans="2:13" s="47" customFormat="1" ht="60" customHeight="1" x14ac:dyDescent="0.25">
      <c r="B83" s="44" t="str">
        <f>CONCATENATE("8.",Prüfkriterien_546[[#This Row],[Spalte2]])</f>
        <v>8.3</v>
      </c>
      <c r="C83" s="45">
        <f>ROW()-ROW(Prüfkriterien_546[[#Headers],[Spalte3]])</f>
        <v>3</v>
      </c>
      <c r="D83" s="45">
        <f>(Prüfkriterien_546[Spalte2]+50)/10</f>
        <v>5.3</v>
      </c>
      <c r="E83" s="98" t="s">
        <v>215</v>
      </c>
      <c r="F83" s="43" t="s">
        <v>197</v>
      </c>
      <c r="G83" s="43"/>
      <c r="H83" s="33"/>
      <c r="I83" s="33"/>
      <c r="J83" s="33"/>
      <c r="K83" s="33"/>
      <c r="L83" s="33"/>
      <c r="M83" s="49"/>
    </row>
    <row r="84" spans="2:13" s="47" customFormat="1" ht="94.95" customHeight="1" x14ac:dyDescent="0.25">
      <c r="B84" s="44" t="str">
        <f>CONCATENATE("8.",Prüfkriterien_546[[#This Row],[Spalte2]])</f>
        <v>8.4</v>
      </c>
      <c r="C84" s="45">
        <f>ROW()-ROW(Prüfkriterien_546[[#Headers],[Spalte3]])</f>
        <v>4</v>
      </c>
      <c r="D84" s="45">
        <f>(Prüfkriterien_546[Spalte2]+50)/10</f>
        <v>5.4</v>
      </c>
      <c r="E84" s="98" t="s">
        <v>215</v>
      </c>
      <c r="F84" s="43" t="s">
        <v>198</v>
      </c>
      <c r="G84" s="43"/>
      <c r="H84" s="33"/>
      <c r="I84" s="33"/>
      <c r="J84" s="33"/>
      <c r="K84" s="33"/>
      <c r="L84" s="33"/>
      <c r="M84" s="49"/>
    </row>
    <row r="85" spans="2:13" s="47" customFormat="1" ht="70.2" customHeight="1" x14ac:dyDescent="0.25">
      <c r="B85" s="44" t="str">
        <f>CONCATENATE("8.",Prüfkriterien_546[[#This Row],[Spalte2]])</f>
        <v>8.5</v>
      </c>
      <c r="C85" s="45">
        <f>ROW()-ROW(Prüfkriterien_546[[#Headers],[Spalte3]])</f>
        <v>5</v>
      </c>
      <c r="D85" s="45">
        <f>(Prüfkriterien_546[Spalte2]+50)/10</f>
        <v>5.5</v>
      </c>
      <c r="E85" s="98" t="s">
        <v>216</v>
      </c>
      <c r="F85" s="43" t="s">
        <v>153</v>
      </c>
      <c r="G85" s="43" t="s">
        <v>276</v>
      </c>
      <c r="H85" s="33"/>
      <c r="I85" s="33"/>
      <c r="J85" s="33"/>
      <c r="K85" s="33"/>
      <c r="L85" s="33"/>
      <c r="M85" s="49"/>
    </row>
    <row r="86" spans="2:13" s="47" customFormat="1" ht="60" customHeight="1" x14ac:dyDescent="0.25">
      <c r="B86" s="44" t="str">
        <f>CONCATENATE("8.",Prüfkriterien_546[[#This Row],[Spalte2]])</f>
        <v>8.6</v>
      </c>
      <c r="C86" s="45">
        <f>ROW()-ROW(Prüfkriterien_546[[#Headers],[Spalte3]])</f>
        <v>6</v>
      </c>
      <c r="D86" s="45">
        <f>(Prüfkriterien_546[Spalte2]+50)/10</f>
        <v>5.6</v>
      </c>
      <c r="E86" s="98" t="s">
        <v>216</v>
      </c>
      <c r="F86" s="43" t="s">
        <v>199</v>
      </c>
      <c r="G86" s="43" t="s">
        <v>171</v>
      </c>
      <c r="H86" s="33"/>
      <c r="I86" s="33"/>
      <c r="J86" s="33"/>
      <c r="K86" s="33"/>
      <c r="L86" s="33"/>
      <c r="M86" s="49"/>
    </row>
    <row r="87" spans="2:13" s="47" customFormat="1" ht="60" customHeight="1" x14ac:dyDescent="0.25">
      <c r="B87" s="44" t="str">
        <f>CONCATENATE("8.",Prüfkriterien_546[[#This Row],[Spalte2]])</f>
        <v>8.7</v>
      </c>
      <c r="C87" s="45">
        <f>ROW()-ROW(Prüfkriterien_546[[#Headers],[Spalte3]])</f>
        <v>7</v>
      </c>
      <c r="D87" s="45">
        <f>(Prüfkriterien_546[Spalte2]+50)/10</f>
        <v>5.7</v>
      </c>
      <c r="E87" s="98" t="s">
        <v>216</v>
      </c>
      <c r="F87" s="43" t="s">
        <v>266</v>
      </c>
      <c r="G87" s="32"/>
      <c r="H87" s="33"/>
      <c r="I87" s="33"/>
      <c r="J87" s="33"/>
      <c r="K87" s="33"/>
      <c r="L87" s="33"/>
      <c r="M87" s="49"/>
    </row>
    <row r="88" spans="2:13" s="47" customFormat="1" ht="60" customHeight="1" x14ac:dyDescent="0.25">
      <c r="B88" s="44" t="str">
        <f>CONCATENATE("8.",Prüfkriterien_546[[#This Row],[Spalte2]])</f>
        <v>8.8</v>
      </c>
      <c r="C88" s="45">
        <f>ROW()-ROW(Prüfkriterien_546[[#Headers],[Spalte3]])</f>
        <v>8</v>
      </c>
      <c r="D88" s="45">
        <f>(Prüfkriterien_546[Spalte2]+50)/10</f>
        <v>5.8</v>
      </c>
      <c r="E88" s="98" t="s">
        <v>216</v>
      </c>
      <c r="F88" s="43" t="s">
        <v>271</v>
      </c>
      <c r="G88" s="32"/>
      <c r="H88" s="33"/>
      <c r="I88" s="33"/>
      <c r="J88" s="33"/>
      <c r="K88" s="33"/>
      <c r="L88" s="33"/>
      <c r="M88" s="49"/>
    </row>
    <row r="89" spans="2:13" s="47" customFormat="1" ht="60" customHeight="1" x14ac:dyDescent="0.25">
      <c r="B89" s="44" t="str">
        <f>CONCATENATE("8.",Prüfkriterien_546[[#This Row],[Spalte2]])</f>
        <v>8.9</v>
      </c>
      <c r="C89" s="45">
        <f>ROW()-ROW(Prüfkriterien_546[[#Headers],[Spalte3]])</f>
        <v>9</v>
      </c>
      <c r="D89" s="45">
        <f>(Prüfkriterien_546[Spalte2]+50)/10</f>
        <v>5.9</v>
      </c>
      <c r="E89" s="98" t="s">
        <v>216</v>
      </c>
      <c r="F89" s="43" t="s">
        <v>272</v>
      </c>
      <c r="G89" s="32" t="s">
        <v>273</v>
      </c>
      <c r="H89" s="33"/>
      <c r="I89" s="33"/>
      <c r="J89" s="33"/>
      <c r="K89" s="33"/>
      <c r="L89" s="33"/>
      <c r="M89" s="49"/>
    </row>
    <row r="90" spans="2:13" s="47" customFormat="1" ht="60" customHeight="1" x14ac:dyDescent="0.25">
      <c r="B90" s="44" t="str">
        <f>CONCATENATE("8.",Prüfkriterien_546[[#This Row],[Spalte2]])</f>
        <v>8.10</v>
      </c>
      <c r="C90" s="45">
        <f>ROW()-ROW(Prüfkriterien_546[[#Headers],[Spalte3]])</f>
        <v>10</v>
      </c>
      <c r="D90" s="45">
        <f>(Prüfkriterien_546[Spalte2]+50)/10</f>
        <v>6</v>
      </c>
      <c r="E90" s="98" t="s">
        <v>216</v>
      </c>
      <c r="F90" s="32" t="s">
        <v>274</v>
      </c>
      <c r="G90" s="32"/>
      <c r="H90" s="33"/>
      <c r="I90" s="33"/>
      <c r="J90" s="33"/>
      <c r="K90" s="33"/>
      <c r="L90" s="33"/>
      <c r="M90" s="49"/>
    </row>
    <row r="91" spans="2:13" s="47" customFormat="1" ht="70.2" customHeight="1" x14ac:dyDescent="0.25">
      <c r="B91" s="44" t="str">
        <f>CONCATENATE("8.",Prüfkriterien_546[[#This Row],[Spalte2]])</f>
        <v>8.11</v>
      </c>
      <c r="C91" s="45">
        <f>ROW()-ROW(Prüfkriterien_546[[#Headers],[Spalte3]])</f>
        <v>11</v>
      </c>
      <c r="D91" s="45">
        <f>(Prüfkriterien_546[Spalte2]+50)/10</f>
        <v>6.1</v>
      </c>
      <c r="E91" s="98" t="s">
        <v>217</v>
      </c>
      <c r="F91" s="43" t="s">
        <v>226</v>
      </c>
      <c r="G91" s="43" t="s">
        <v>172</v>
      </c>
      <c r="H91" s="33"/>
      <c r="I91" s="33"/>
      <c r="J91" s="33"/>
      <c r="K91" s="33"/>
      <c r="L91" s="33"/>
      <c r="M91" s="49"/>
    </row>
    <row r="92" spans="2:13" s="47" customFormat="1" ht="60" customHeight="1" x14ac:dyDescent="0.25">
      <c r="B92" s="44" t="str">
        <f>CONCATENATE("8.",Prüfkriterien_546[[#This Row],[Spalte2]])</f>
        <v>8.12</v>
      </c>
      <c r="C92" s="45">
        <f>ROW()-ROW(Prüfkriterien_546[[#Headers],[Spalte3]])</f>
        <v>12</v>
      </c>
      <c r="D92" s="45">
        <f>(Prüfkriterien_546[Spalte2]+50)/10</f>
        <v>6.2</v>
      </c>
      <c r="E92" s="98" t="s">
        <v>217</v>
      </c>
      <c r="F92" s="43" t="s">
        <v>201</v>
      </c>
      <c r="G92" s="43" t="s">
        <v>202</v>
      </c>
      <c r="H92" s="33"/>
      <c r="I92" s="33"/>
      <c r="J92" s="33"/>
      <c r="K92" s="33"/>
      <c r="L92" s="33"/>
      <c r="M92" s="118"/>
    </row>
    <row r="93" spans="2:13" s="47" customFormat="1" ht="124.95" customHeight="1" x14ac:dyDescent="0.25">
      <c r="B93" s="44" t="str">
        <f>CONCATENATE("8.",Prüfkriterien_546[[#This Row],[Spalte2]])</f>
        <v>8.13</v>
      </c>
      <c r="C93" s="45">
        <f>ROW()-ROW(Prüfkriterien_546[[#Headers],[Spalte3]])</f>
        <v>13</v>
      </c>
      <c r="D93" s="45">
        <f>(Prüfkriterien_546[Spalte2]+50)/10</f>
        <v>6.3</v>
      </c>
      <c r="E93" s="98" t="s">
        <v>217</v>
      </c>
      <c r="F93" s="43" t="s">
        <v>203</v>
      </c>
      <c r="G93" s="43" t="s">
        <v>173</v>
      </c>
      <c r="H93" s="33"/>
      <c r="I93" s="33"/>
      <c r="J93" s="33"/>
      <c r="K93" s="33"/>
      <c r="L93" s="33"/>
      <c r="M93" s="49"/>
    </row>
    <row r="94" spans="2:13" s="47" customFormat="1" ht="60" customHeight="1" x14ac:dyDescent="0.25">
      <c r="B94" s="44" t="str">
        <f>CONCATENATE("8.",Prüfkriterien_546[[#This Row],[Spalte2]])</f>
        <v>8.14</v>
      </c>
      <c r="C94" s="45">
        <f>ROW()-ROW(Prüfkriterien_546[[#Headers],[Spalte3]])</f>
        <v>14</v>
      </c>
      <c r="D94" s="45">
        <f>(Prüfkriterien_546[Spalte2]+50)/10</f>
        <v>6.4</v>
      </c>
      <c r="E94" s="98" t="s">
        <v>217</v>
      </c>
      <c r="F94" s="43" t="s">
        <v>204</v>
      </c>
      <c r="G94" s="43" t="s">
        <v>284</v>
      </c>
      <c r="H94" s="33"/>
      <c r="I94" s="33"/>
      <c r="J94" s="33"/>
      <c r="K94" s="33"/>
      <c r="L94" s="33"/>
      <c r="M94" s="118"/>
    </row>
    <row r="95" spans="2:13" s="47" customFormat="1" ht="112.5" customHeight="1" x14ac:dyDescent="0.25">
      <c r="B95" s="44" t="str">
        <f>CONCATENATE("8.",Prüfkriterien_546[[#This Row],[Spalte2]])</f>
        <v>8.15</v>
      </c>
      <c r="C95" s="45">
        <f>ROW()-ROW(Prüfkriterien_546[[#Headers],[Spalte3]])</f>
        <v>15</v>
      </c>
      <c r="D95" s="45">
        <f>(Prüfkriterien_546[Spalte2]+50)/10</f>
        <v>6.5</v>
      </c>
      <c r="E95" s="98" t="s">
        <v>218</v>
      </c>
      <c r="F95" s="43" t="s">
        <v>291</v>
      </c>
      <c r="G95" s="43"/>
      <c r="H95" s="33"/>
      <c r="I95" s="33"/>
      <c r="J95" s="33"/>
      <c r="K95" s="33"/>
      <c r="L95" s="33"/>
      <c r="M95" s="118"/>
    </row>
    <row r="96" spans="2:13" s="47" customFormat="1" ht="118.2" customHeight="1" x14ac:dyDescent="0.25">
      <c r="B96" s="44" t="str">
        <f>CONCATENATE("8.",Prüfkriterien_546[[#This Row],[Spalte2]])</f>
        <v>8.16</v>
      </c>
      <c r="C96" s="45">
        <f>ROW()-ROW(Prüfkriterien_546[[#Headers],[Spalte3]])</f>
        <v>16</v>
      </c>
      <c r="D96" s="45">
        <f>(Prüfkriterien_546[Spalte2]+50)/10</f>
        <v>6.6</v>
      </c>
      <c r="E96" s="98" t="s">
        <v>218</v>
      </c>
      <c r="F96" s="43" t="s">
        <v>234</v>
      </c>
      <c r="G96" s="43" t="s">
        <v>278</v>
      </c>
      <c r="H96" s="33"/>
      <c r="I96" s="33"/>
      <c r="J96" s="33"/>
      <c r="K96" s="33"/>
      <c r="L96" s="33"/>
      <c r="M96" s="49"/>
    </row>
    <row r="97" spans="2:13" s="47" customFormat="1" ht="60" customHeight="1" x14ac:dyDescent="0.25">
      <c r="B97" s="44" t="str">
        <f>CONCATENATE("8.",Prüfkriterien_546[[#This Row],[Spalte2]])</f>
        <v>8.17</v>
      </c>
      <c r="C97" s="45">
        <f>ROW()-ROW(Prüfkriterien_546[[#Headers],[Spalte3]])</f>
        <v>17</v>
      </c>
      <c r="D97" s="45">
        <f>(Prüfkriterien_546[Spalte2]+50)/10</f>
        <v>6.7</v>
      </c>
      <c r="E97" s="98" t="s">
        <v>218</v>
      </c>
      <c r="F97" s="43" t="s">
        <v>244</v>
      </c>
      <c r="G97" s="43"/>
      <c r="H97" s="33"/>
      <c r="I97" s="33"/>
      <c r="J97" s="33"/>
      <c r="K97" s="33"/>
      <c r="L97" s="33"/>
      <c r="M97" s="49"/>
    </row>
    <row r="98" spans="2:13" s="47" customFormat="1" ht="60" customHeight="1" x14ac:dyDescent="0.25">
      <c r="B98" s="44" t="str">
        <f>CONCATENATE("8.",Prüfkriterien_546[[#This Row],[Spalte2]])</f>
        <v>8.18</v>
      </c>
      <c r="C98" s="45">
        <f>ROW()-ROW(Prüfkriterien_546[[#Headers],[Spalte3]])</f>
        <v>18</v>
      </c>
      <c r="D98" s="45">
        <f>(Prüfkriterien_546[Spalte2]+50)/10</f>
        <v>6.8</v>
      </c>
      <c r="E98" s="98" t="s">
        <v>218</v>
      </c>
      <c r="F98" s="43" t="s">
        <v>253</v>
      </c>
      <c r="G98" s="43" t="s">
        <v>174</v>
      </c>
      <c r="H98" s="33"/>
      <c r="I98" s="33"/>
      <c r="J98" s="33"/>
      <c r="K98" s="33"/>
      <c r="L98" s="33"/>
      <c r="M98" s="49"/>
    </row>
    <row r="99" spans="2:13" s="47" customFormat="1" ht="60" customHeight="1" x14ac:dyDescent="0.25">
      <c r="B99" s="44" t="str">
        <f>CONCATENATE("8.",Prüfkriterien_546[[#This Row],[Spalte2]])</f>
        <v>8.19</v>
      </c>
      <c r="C99" s="45">
        <f>ROW()-ROW(Prüfkriterien_546[[#Headers],[Spalte3]])</f>
        <v>19</v>
      </c>
      <c r="D99" s="45">
        <f>(Prüfkriterien_546[Spalte2]+50)/10</f>
        <v>6.9</v>
      </c>
      <c r="E99" s="31" t="s">
        <v>218</v>
      </c>
      <c r="F99" s="32" t="s">
        <v>206</v>
      </c>
      <c r="G99" s="32"/>
      <c r="H99" s="33"/>
      <c r="I99" s="33"/>
      <c r="J99" s="33"/>
      <c r="K99" s="33"/>
      <c r="L99" s="33"/>
      <c r="M99" s="49"/>
    </row>
    <row r="100" spans="2:13" s="47" customFormat="1" ht="60" customHeight="1" x14ac:dyDescent="0.25">
      <c r="B100" s="44" t="str">
        <f>CONCATENATE("8.",Prüfkriterien_546[[#This Row],[Spalte2]])</f>
        <v>8.20</v>
      </c>
      <c r="C100" s="45">
        <f>ROW()-ROW(Prüfkriterien_546[[#Headers],[Spalte3]])</f>
        <v>20</v>
      </c>
      <c r="D100" s="45">
        <f>(Prüfkriterien_546[Spalte2]+50)/10</f>
        <v>7</v>
      </c>
      <c r="E100" s="31" t="s">
        <v>218</v>
      </c>
      <c r="F100" s="32" t="s">
        <v>255</v>
      </c>
      <c r="G100" s="32" t="s">
        <v>300</v>
      </c>
      <c r="H100" s="33"/>
      <c r="I100" s="33"/>
      <c r="J100" s="33"/>
      <c r="K100" s="33"/>
      <c r="L100" s="33"/>
      <c r="M100" s="118"/>
    </row>
    <row r="101" spans="2:13" s="47" customFormat="1" ht="60" customHeight="1" x14ac:dyDescent="0.25">
      <c r="B101" s="44" t="str">
        <f>CONCATENATE("8.",Prüfkriterien_546[[#This Row],[Spalte2]])</f>
        <v>8.21</v>
      </c>
      <c r="C101" s="45">
        <f>ROW()-ROW(Prüfkriterien_546[[#Headers],[Spalte3]])</f>
        <v>21</v>
      </c>
      <c r="D101" s="45">
        <f>(Prüfkriterien_546[Spalte2]+50)/10</f>
        <v>7.1</v>
      </c>
      <c r="E101" s="31" t="s">
        <v>218</v>
      </c>
      <c r="F101" s="32" t="s">
        <v>207</v>
      </c>
      <c r="G101" s="32"/>
      <c r="H101" s="33"/>
      <c r="I101" s="33"/>
      <c r="J101" s="33"/>
      <c r="K101" s="33"/>
      <c r="L101" s="33"/>
      <c r="M101" s="49"/>
    </row>
    <row r="102" spans="2:13" s="47" customFormat="1" ht="135.75" customHeight="1" x14ac:dyDescent="0.25">
      <c r="B102" s="44" t="str">
        <f>CONCATENATE("8.",Prüfkriterien_546[[#This Row],[Spalte2]])</f>
        <v>8.22</v>
      </c>
      <c r="C102" s="45">
        <f>ROW()-ROW(Prüfkriterien_546[[#Headers],[Spalte3]])</f>
        <v>22</v>
      </c>
      <c r="D102" s="45">
        <f>(Prüfkriterien_546[Spalte2]+50)/10</f>
        <v>7.2</v>
      </c>
      <c r="E102" s="31" t="s">
        <v>218</v>
      </c>
      <c r="F102" s="32" t="s">
        <v>227</v>
      </c>
      <c r="G102" s="32" t="s">
        <v>175</v>
      </c>
      <c r="H102" s="33"/>
      <c r="I102" s="33"/>
      <c r="J102" s="33"/>
      <c r="K102" s="33"/>
      <c r="L102" s="33"/>
      <c r="M102" s="49"/>
    </row>
    <row r="103" spans="2:13" s="47" customFormat="1" ht="277.95" customHeight="1" x14ac:dyDescent="0.25">
      <c r="B103" s="44" t="str">
        <f>CONCATENATE("8.",Prüfkriterien_546[[#This Row],[Spalte2]])</f>
        <v>8.23</v>
      </c>
      <c r="C103" s="45">
        <f>ROW()-ROW(Prüfkriterien_546[[#Headers],[Spalte3]])</f>
        <v>23</v>
      </c>
      <c r="D103" s="45">
        <f>(Prüfkriterien_546[Spalte2]+50)/10</f>
        <v>7.3</v>
      </c>
      <c r="E103" s="31" t="s">
        <v>218</v>
      </c>
      <c r="F103" s="32" t="s">
        <v>228</v>
      </c>
      <c r="G103" s="32" t="s">
        <v>287</v>
      </c>
      <c r="H103" s="33"/>
      <c r="I103" s="33"/>
      <c r="J103" s="33"/>
      <c r="K103" s="33"/>
      <c r="L103" s="33"/>
      <c r="M103" s="118"/>
    </row>
    <row r="104" spans="2:13" s="47" customFormat="1" ht="119.4" customHeight="1" x14ac:dyDescent="0.25">
      <c r="B104" s="44" t="str">
        <f>CONCATENATE("8.",Prüfkriterien_546[[#This Row],[Spalte2]])</f>
        <v>8.24</v>
      </c>
      <c r="C104" s="45">
        <f>ROW()-ROW(Prüfkriterien_546[[#Headers],[Spalte3]])</f>
        <v>24</v>
      </c>
      <c r="D104" s="45">
        <f>(Prüfkriterien_546[Spalte2]+50)/10</f>
        <v>7.4</v>
      </c>
      <c r="E104" s="31" t="s">
        <v>219</v>
      </c>
      <c r="F104" s="32" t="s">
        <v>225</v>
      </c>
      <c r="G104" s="32" t="s">
        <v>292</v>
      </c>
      <c r="H104" s="33"/>
      <c r="I104" s="33"/>
      <c r="J104" s="33"/>
      <c r="K104" s="33"/>
      <c r="L104" s="33"/>
      <c r="M104" s="118"/>
    </row>
    <row r="105" spans="2:13" s="47" customFormat="1" ht="60" customHeight="1" x14ac:dyDescent="0.25">
      <c r="B105" s="44" t="str">
        <f>CONCATENATE("8.",Prüfkriterien_546[[#This Row],[Spalte2]])</f>
        <v>8.25</v>
      </c>
      <c r="C105" s="45">
        <f>ROW()-ROW(Prüfkriterien_546[[#Headers],[Spalte3]])</f>
        <v>25</v>
      </c>
      <c r="D105" s="45">
        <f>(Prüfkriterien_546[Spalte2]+50)/10</f>
        <v>7.5</v>
      </c>
      <c r="E105" s="31" t="s">
        <v>220</v>
      </c>
      <c r="F105" s="32" t="s">
        <v>256</v>
      </c>
      <c r="G105" s="32" t="s">
        <v>293</v>
      </c>
      <c r="H105" s="33"/>
      <c r="I105" s="33"/>
      <c r="J105" s="33"/>
      <c r="K105" s="33"/>
      <c r="L105" s="33"/>
      <c r="M105" s="118"/>
    </row>
    <row r="106" spans="2:13" s="47" customFormat="1" ht="60" customHeight="1" x14ac:dyDescent="0.25">
      <c r="B106" s="44" t="str">
        <f>CONCATENATE("8.",Prüfkriterien_546[[#This Row],[Spalte2]])</f>
        <v>8.26</v>
      </c>
      <c r="C106" s="45">
        <f>ROW()-ROW(Prüfkriterien_546[[#Headers],[Spalte3]])</f>
        <v>26</v>
      </c>
      <c r="D106" s="45">
        <f>(Prüfkriterien_546[Spalte2]+50)/10</f>
        <v>7.6</v>
      </c>
      <c r="E106" s="31" t="s">
        <v>220</v>
      </c>
      <c r="F106" s="32" t="s">
        <v>301</v>
      </c>
      <c r="G106" s="32" t="s">
        <v>294</v>
      </c>
      <c r="H106" s="33"/>
      <c r="I106" s="33"/>
      <c r="J106" s="33"/>
      <c r="K106" s="33"/>
      <c r="L106" s="33"/>
      <c r="M106" s="118"/>
    </row>
    <row r="107" spans="2:13" s="47" customFormat="1" ht="134.4" customHeight="1" x14ac:dyDescent="0.25">
      <c r="B107" s="44" t="str">
        <f>CONCATENATE("8.",Prüfkriterien_546[[#This Row],[Spalte2]])</f>
        <v>8.27</v>
      </c>
      <c r="C107" s="45">
        <f>ROW()-ROW(Prüfkriterien_546[[#Headers],[Spalte3]])</f>
        <v>27</v>
      </c>
      <c r="D107" s="45">
        <f>(Prüfkriterien_546[Spalte2]+50)/10</f>
        <v>7.7</v>
      </c>
      <c r="E107" s="31" t="s">
        <v>221</v>
      </c>
      <c r="F107" s="32" t="s">
        <v>229</v>
      </c>
      <c r="G107" s="32" t="s">
        <v>295</v>
      </c>
      <c r="H107" s="33"/>
      <c r="I107" s="33"/>
      <c r="J107" s="33"/>
      <c r="K107" s="33"/>
      <c r="L107" s="33"/>
      <c r="M107" s="118"/>
    </row>
    <row r="108" spans="2:13" s="113" customFormat="1" ht="60" customHeight="1" x14ac:dyDescent="0.25">
      <c r="B108" s="108" t="str">
        <f>CONCATENATE("8.",Prüfkriterien_546[[#This Row],[Spalte2]])</f>
        <v>8.28</v>
      </c>
      <c r="C108" s="109">
        <f>ROW()-ROW(Prüfkriterien_546[[#Headers],[Spalte3]])</f>
        <v>28</v>
      </c>
      <c r="D108" s="109">
        <f>(Prüfkriterien_546[Spalte2]+50)/10</f>
        <v>7.8</v>
      </c>
      <c r="E108" s="110" t="s">
        <v>222</v>
      </c>
      <c r="F108" s="105" t="s">
        <v>242</v>
      </c>
      <c r="G108" s="105"/>
      <c r="H108" s="111"/>
      <c r="I108" s="111"/>
      <c r="J108" s="111"/>
      <c r="K108" s="111"/>
      <c r="L108" s="111"/>
      <c r="M108" s="112"/>
    </row>
    <row r="109" spans="2:13" s="47" customFormat="1" ht="60" customHeight="1" x14ac:dyDescent="0.25">
      <c r="B109" s="44" t="str">
        <f>CONCATENATE("8.",Prüfkriterien_546[[#This Row],[Spalte2]])</f>
        <v>8.29</v>
      </c>
      <c r="C109" s="45">
        <f>ROW()-ROW(Prüfkriterien_546[[#Headers],[Spalte3]])</f>
        <v>29</v>
      </c>
      <c r="D109" s="45">
        <f>(Prüfkriterien_546[Spalte2]+50)/10</f>
        <v>7.9</v>
      </c>
      <c r="E109" s="31" t="s">
        <v>222</v>
      </c>
      <c r="F109" s="32" t="s">
        <v>246</v>
      </c>
      <c r="G109" s="32" t="s">
        <v>302</v>
      </c>
      <c r="H109" s="70"/>
      <c r="I109" s="70"/>
      <c r="J109" s="70"/>
      <c r="K109" s="70"/>
      <c r="L109" s="70"/>
      <c r="M109" s="118"/>
    </row>
    <row r="110" spans="2:13" s="47" customFormat="1" ht="60" customHeight="1" x14ac:dyDescent="0.25">
      <c r="B110" s="56" t="str">
        <f>CONCATENATE("8.",Prüfkriterien_546[[#This Row],[Spalte2]])</f>
        <v>8.30</v>
      </c>
      <c r="C110" s="57">
        <f>ROW()-ROW(Prüfkriterien_546[[#Headers],[Spalte3]])</f>
        <v>30</v>
      </c>
      <c r="D110" s="57">
        <f>(Prüfkriterien_546[Spalte2]+50)/10</f>
        <v>8</v>
      </c>
      <c r="E110" s="31" t="s">
        <v>222</v>
      </c>
      <c r="F110" s="32" t="s">
        <v>209</v>
      </c>
      <c r="G110" s="32" t="s">
        <v>211</v>
      </c>
      <c r="H110" s="70"/>
      <c r="I110" s="70"/>
      <c r="J110" s="70"/>
      <c r="K110" s="70"/>
      <c r="L110" s="70"/>
      <c r="M110" s="87"/>
    </row>
    <row r="111" spans="2:13" s="47" customFormat="1" ht="199.95" customHeight="1" x14ac:dyDescent="0.25">
      <c r="B111" s="44" t="str">
        <f>CONCATENATE("8.",Prüfkriterien_546[[#This Row],[Spalte2]])</f>
        <v>8.31</v>
      </c>
      <c r="C111" s="45">
        <f>ROW()-ROW(Prüfkriterien_546[[#Headers],[Spalte3]])</f>
        <v>31</v>
      </c>
      <c r="D111" s="45">
        <f>(Prüfkriterien_546[Spalte2]+50)/10</f>
        <v>8.1</v>
      </c>
      <c r="E111" s="31" t="s">
        <v>223</v>
      </c>
      <c r="F111" s="32" t="s">
        <v>210</v>
      </c>
      <c r="G111" s="32" t="s">
        <v>212</v>
      </c>
      <c r="H111" s="70"/>
      <c r="I111" s="70"/>
      <c r="J111" s="70"/>
      <c r="K111" s="70"/>
      <c r="L111" s="70"/>
      <c r="M111" s="49"/>
    </row>
    <row r="112" spans="2:13" s="47" customFormat="1" ht="84.75" customHeight="1" x14ac:dyDescent="0.25">
      <c r="B112" s="44" t="str">
        <f>CONCATENATE("8.",Prüfkriterien_546[[#This Row],[Spalte2]])</f>
        <v>8.32</v>
      </c>
      <c r="C112" s="45">
        <f>ROW()-ROW(Prüfkriterien_546[[#Headers],[Spalte3]])</f>
        <v>32</v>
      </c>
      <c r="D112" s="45">
        <f>(Prüfkriterien_546[Spalte2]+50)/10</f>
        <v>8.1999999999999993</v>
      </c>
      <c r="E112" s="31" t="s">
        <v>223</v>
      </c>
      <c r="F112" s="32" t="s">
        <v>148</v>
      </c>
      <c r="G112" s="32" t="s">
        <v>149</v>
      </c>
      <c r="H112" s="70"/>
      <c r="I112" s="70"/>
      <c r="J112" s="70"/>
      <c r="K112" s="70"/>
      <c r="L112" s="70"/>
      <c r="M112" s="49"/>
    </row>
    <row r="113" spans="2:13" s="47" customFormat="1" ht="60" customHeight="1" x14ac:dyDescent="0.25">
      <c r="B113" s="56" t="str">
        <f>CONCATENATE("8.",Prüfkriterien_546[[#This Row],[Spalte2]])</f>
        <v>8.33</v>
      </c>
      <c r="C113" s="57">
        <f>ROW()-ROW(Prüfkriterien_546[[#Headers],[Spalte3]])</f>
        <v>33</v>
      </c>
      <c r="D113" s="57">
        <f>(Prüfkriterien_546[Spalte2]+50)/10</f>
        <v>8.3000000000000007</v>
      </c>
      <c r="E113" s="31" t="s">
        <v>223</v>
      </c>
      <c r="F113" s="32" t="s">
        <v>150</v>
      </c>
      <c r="G113" s="32" t="s">
        <v>176</v>
      </c>
      <c r="H113" s="70"/>
      <c r="I113" s="70"/>
      <c r="J113" s="70"/>
      <c r="K113" s="70"/>
      <c r="L113" s="70"/>
      <c r="M113" s="87"/>
    </row>
    <row r="114" spans="2:13" x14ac:dyDescent="0.25">
      <c r="B114" s="173" t="s">
        <v>322</v>
      </c>
      <c r="C114" s="174"/>
      <c r="D114" s="174"/>
      <c r="E114" s="174"/>
      <c r="F114" s="174"/>
      <c r="G114" s="174"/>
      <c r="H114" s="174"/>
      <c r="I114" s="174"/>
      <c r="J114" s="174"/>
      <c r="K114" s="174"/>
      <c r="L114" s="174"/>
      <c r="M114" s="175"/>
    </row>
    <row r="115" spans="2:13" s="47" customFormat="1" hidden="1" x14ac:dyDescent="0.25">
      <c r="B115" s="44" t="s">
        <v>39</v>
      </c>
      <c r="C115" s="45" t="s">
        <v>40</v>
      </c>
      <c r="D115" s="45" t="s">
        <v>41</v>
      </c>
      <c r="E115" s="31" t="s">
        <v>42</v>
      </c>
      <c r="F115" s="32" t="s">
        <v>43</v>
      </c>
      <c r="G115" s="32" t="s">
        <v>46</v>
      </c>
      <c r="H115" s="33" t="s">
        <v>47</v>
      </c>
      <c r="I115" s="33" t="s">
        <v>48</v>
      </c>
      <c r="J115" s="33" t="s">
        <v>49</v>
      </c>
      <c r="K115" s="33" t="s">
        <v>50</v>
      </c>
      <c r="L115" s="33" t="s">
        <v>51</v>
      </c>
      <c r="M115" s="34" t="s">
        <v>52</v>
      </c>
    </row>
    <row r="116" spans="2:13" s="47" customFormat="1" ht="60" customHeight="1" x14ac:dyDescent="0.25">
      <c r="B116" s="44" t="str">
        <f>CONCATENATE("9.",Prüfkriterien_647[[#This Row],[Spalte2]])</f>
        <v>9.1</v>
      </c>
      <c r="C116" s="45">
        <f>ROW()-ROW(Prüfkriterien_647[[#Headers],[Spalte3]])</f>
        <v>1</v>
      </c>
      <c r="D116" s="45">
        <f>(Prüfkriterien_647[Spalte2]+60)/10</f>
        <v>6.1</v>
      </c>
      <c r="E116" s="98" t="s">
        <v>224</v>
      </c>
      <c r="F116" s="43" t="s">
        <v>230</v>
      </c>
      <c r="G116" s="43" t="s">
        <v>303</v>
      </c>
      <c r="H116" s="70"/>
      <c r="I116" s="70"/>
      <c r="J116" s="70"/>
      <c r="K116" s="70"/>
      <c r="L116" s="70"/>
      <c r="M116" s="118"/>
    </row>
    <row r="117" spans="2:13" s="47" customFormat="1" ht="60" customHeight="1" x14ac:dyDescent="0.25">
      <c r="B117" s="56" t="str">
        <f>CONCATENATE("9.",Prüfkriterien_647[[#This Row],[Spalte2]])</f>
        <v>9.2</v>
      </c>
      <c r="C117" s="57">
        <f>ROW()-ROW(Prüfkriterien_647[[#Headers],[Spalte3]])</f>
        <v>2</v>
      </c>
      <c r="D117" s="57">
        <f>(Prüfkriterien_647[Spalte2]+60)/10</f>
        <v>6.2</v>
      </c>
      <c r="E117" s="98" t="s">
        <v>224</v>
      </c>
      <c r="F117" s="43" t="s">
        <v>231</v>
      </c>
      <c r="G117" s="43" t="s">
        <v>303</v>
      </c>
      <c r="H117" s="70"/>
      <c r="I117" s="70"/>
      <c r="J117" s="70"/>
      <c r="K117" s="70"/>
      <c r="L117" s="70"/>
      <c r="M117" s="118"/>
    </row>
    <row r="118" spans="2:13" s="47" customFormat="1" ht="60" customHeight="1" x14ac:dyDescent="0.25">
      <c r="B118" s="44" t="str">
        <f>CONCATENATE("9.",Prüfkriterien_647[[#This Row],[Spalte2]])</f>
        <v>9.3</v>
      </c>
      <c r="C118" s="45">
        <f>ROW()-ROW(Prüfkriterien_647[[#Headers],[Spalte3]])</f>
        <v>3</v>
      </c>
      <c r="D118" s="45">
        <f>(Prüfkriterien_647[Spalte2]+60)/10</f>
        <v>6.3</v>
      </c>
      <c r="E118" s="98" t="s">
        <v>224</v>
      </c>
      <c r="F118" s="43" t="s">
        <v>232</v>
      </c>
      <c r="G118" s="43" t="s">
        <v>303</v>
      </c>
      <c r="H118" s="70"/>
      <c r="I118" s="70"/>
      <c r="J118" s="70"/>
      <c r="K118" s="70"/>
      <c r="L118" s="70"/>
      <c r="M118" s="118"/>
    </row>
    <row r="119" spans="2:13" s="47" customFormat="1" ht="60" customHeight="1" x14ac:dyDescent="0.25">
      <c r="B119" s="44" t="str">
        <f>CONCATENATE("9.",Prüfkriterien_647[[#This Row],[Spalte2]])</f>
        <v>9.4</v>
      </c>
      <c r="C119" s="45">
        <f>ROW()-ROW(Prüfkriterien_647[[#Headers],[Spalte3]])</f>
        <v>4</v>
      </c>
      <c r="D119" s="45">
        <f>(Prüfkriterien_647[Spalte2]+60)/10</f>
        <v>6.4</v>
      </c>
      <c r="E119" s="98" t="s">
        <v>224</v>
      </c>
      <c r="F119" s="43" t="s">
        <v>233</v>
      </c>
      <c r="G119" s="43" t="s">
        <v>303</v>
      </c>
      <c r="H119" s="70"/>
      <c r="I119" s="70"/>
      <c r="J119" s="70"/>
      <c r="K119" s="70"/>
      <c r="L119" s="70"/>
      <c r="M119" s="118"/>
    </row>
    <row r="120" spans="2:13" s="47" customFormat="1" hidden="1" x14ac:dyDescent="0.25">
      <c r="B120" s="56" t="str">
        <f>CONCATENATE("6.",Prüfkriterien_647[[#This Row],[Spalte2]])</f>
        <v>6.5</v>
      </c>
      <c r="C120" s="57">
        <f>ROW()-ROW(Prüfkriterien_647[[#Headers],[Spalte3]])</f>
        <v>5</v>
      </c>
      <c r="D120" s="57">
        <f>(Prüfkriterien_647[Spalte2]+60)/10</f>
        <v>6.5</v>
      </c>
      <c r="E120" s="58"/>
      <c r="F120" s="59"/>
      <c r="G120" s="59"/>
      <c r="H120" s="70"/>
      <c r="I120" s="70"/>
      <c r="J120" s="70"/>
      <c r="K120" s="70"/>
      <c r="L120" s="70"/>
      <c r="M120" s="87"/>
    </row>
    <row r="121" spans="2:13" hidden="1" x14ac:dyDescent="0.25">
      <c r="B121" s="173" t="s">
        <v>68</v>
      </c>
      <c r="C121" s="174"/>
      <c r="D121" s="174"/>
      <c r="E121" s="174"/>
      <c r="F121" s="174"/>
      <c r="G121" s="174"/>
      <c r="H121" s="174"/>
      <c r="I121" s="174"/>
      <c r="J121" s="174"/>
      <c r="K121" s="174"/>
      <c r="L121" s="174"/>
      <c r="M121" s="175"/>
    </row>
    <row r="122" spans="2:13" s="47" customFormat="1" hidden="1" x14ac:dyDescent="0.25">
      <c r="B122" s="44" t="s">
        <v>39</v>
      </c>
      <c r="C122" s="45" t="s">
        <v>40</v>
      </c>
      <c r="D122" s="45" t="s">
        <v>41</v>
      </c>
      <c r="E122" s="31" t="s">
        <v>42</v>
      </c>
      <c r="F122" s="32" t="s">
        <v>43</v>
      </c>
      <c r="G122" s="32" t="s">
        <v>46</v>
      </c>
      <c r="H122" s="33" t="s">
        <v>47</v>
      </c>
      <c r="I122" s="33" t="s">
        <v>48</v>
      </c>
      <c r="J122" s="33" t="s">
        <v>49</v>
      </c>
      <c r="K122" s="33" t="s">
        <v>50</v>
      </c>
      <c r="L122" s="33" t="s">
        <v>51</v>
      </c>
      <c r="M122" s="34" t="s">
        <v>52</v>
      </c>
    </row>
    <row r="123" spans="2:13" s="47" customFormat="1" hidden="1" x14ac:dyDescent="0.25">
      <c r="B123" s="44" t="str">
        <f>CONCATENATE("7.",Prüfkriterien_748[[#This Row],[Spalte2]])</f>
        <v>7.1</v>
      </c>
      <c r="C123" s="45">
        <f>ROW()-ROW(Prüfkriterien_748[[#Headers],[Spalte3]])</f>
        <v>1</v>
      </c>
      <c r="D123" s="45">
        <f>(Prüfkriterien_748[Spalte2]+70)/10</f>
        <v>7.1</v>
      </c>
      <c r="E123" s="31"/>
      <c r="F123" s="32"/>
      <c r="G123" s="32"/>
      <c r="H123" s="70"/>
      <c r="I123" s="70"/>
      <c r="J123" s="70"/>
      <c r="K123" s="70"/>
      <c r="L123" s="70"/>
      <c r="M123" s="49"/>
    </row>
    <row r="124" spans="2:13" s="47" customFormat="1" hidden="1" x14ac:dyDescent="0.25">
      <c r="B124" s="56" t="str">
        <f>CONCATENATE("7.",Prüfkriterien_748[[#This Row],[Spalte2]])</f>
        <v>7.2</v>
      </c>
      <c r="C124" s="57">
        <f>ROW()-ROW(Prüfkriterien_748[[#Headers],[Spalte3]])</f>
        <v>2</v>
      </c>
      <c r="D124" s="57">
        <f>(Prüfkriterien_748[Spalte2]+70)/10</f>
        <v>7.2</v>
      </c>
      <c r="E124" s="58"/>
      <c r="F124" s="59"/>
      <c r="G124" s="59"/>
      <c r="H124" s="70"/>
      <c r="I124" s="70"/>
      <c r="J124" s="70"/>
      <c r="K124" s="70"/>
      <c r="L124" s="70"/>
      <c r="M124" s="87"/>
    </row>
    <row r="125" spans="2:13" s="47" customFormat="1" hidden="1" x14ac:dyDescent="0.25">
      <c r="B125" s="44" t="str">
        <f>CONCATENATE("7.",Prüfkriterien_748[[#This Row],[Spalte2]])</f>
        <v>7.3</v>
      </c>
      <c r="C125" s="45">
        <f>ROW()-ROW(Prüfkriterien_748[[#Headers],[Spalte3]])</f>
        <v>3</v>
      </c>
      <c r="D125" s="45">
        <f>(Prüfkriterien_748[Spalte2]+70)/10</f>
        <v>7.3</v>
      </c>
      <c r="E125" s="31"/>
      <c r="F125" s="32"/>
      <c r="G125" s="32"/>
      <c r="H125" s="70"/>
      <c r="I125" s="70"/>
      <c r="J125" s="70"/>
      <c r="K125" s="70"/>
      <c r="L125" s="70"/>
      <c r="M125" s="49"/>
    </row>
    <row r="126" spans="2:13" s="47" customFormat="1" hidden="1" x14ac:dyDescent="0.25">
      <c r="B126" s="44" t="str">
        <f>CONCATENATE("7.",Prüfkriterien_748[[#This Row],[Spalte2]])</f>
        <v>7.4</v>
      </c>
      <c r="C126" s="45">
        <f>ROW()-ROW(Prüfkriterien_748[[#Headers],[Spalte3]])</f>
        <v>4</v>
      </c>
      <c r="D126" s="45">
        <f>(Prüfkriterien_748[Spalte2]+70)/10</f>
        <v>7.4</v>
      </c>
      <c r="E126" s="31"/>
      <c r="F126" s="32"/>
      <c r="G126" s="32"/>
      <c r="H126" s="70"/>
      <c r="I126" s="70"/>
      <c r="J126" s="70"/>
      <c r="K126" s="70"/>
      <c r="L126" s="70"/>
      <c r="M126" s="49"/>
    </row>
    <row r="127" spans="2:13" s="47" customFormat="1" hidden="1" x14ac:dyDescent="0.25">
      <c r="B127" s="56" t="str">
        <f>CONCATENATE("7.",Prüfkriterien_748[[#This Row],[Spalte2]])</f>
        <v>7.5</v>
      </c>
      <c r="C127" s="57">
        <f>ROW()-ROW(Prüfkriterien_748[[#Headers],[Spalte3]])</f>
        <v>5</v>
      </c>
      <c r="D127" s="57">
        <f>(Prüfkriterien_748[Spalte2]+70)/10</f>
        <v>7.5</v>
      </c>
      <c r="E127" s="58"/>
      <c r="F127" s="59"/>
      <c r="G127" s="59"/>
      <c r="H127" s="70"/>
      <c r="I127" s="70"/>
      <c r="J127" s="70"/>
      <c r="K127" s="70"/>
      <c r="L127" s="70"/>
      <c r="M127" s="87"/>
    </row>
    <row r="128" spans="2:13" hidden="1" x14ac:dyDescent="0.25">
      <c r="B128" s="173" t="s">
        <v>69</v>
      </c>
      <c r="C128" s="174"/>
      <c r="D128" s="174"/>
      <c r="E128" s="174"/>
      <c r="F128" s="174"/>
      <c r="G128" s="174"/>
      <c r="H128" s="174"/>
      <c r="I128" s="174"/>
      <c r="J128" s="174"/>
      <c r="K128" s="174"/>
      <c r="L128" s="174"/>
      <c r="M128" s="175"/>
    </row>
    <row r="129" spans="2:13" s="47" customFormat="1" hidden="1" x14ac:dyDescent="0.25">
      <c r="B129" s="44" t="s">
        <v>39</v>
      </c>
      <c r="C129" s="45" t="s">
        <v>40</v>
      </c>
      <c r="D129" s="45" t="s">
        <v>41</v>
      </c>
      <c r="E129" s="31" t="s">
        <v>42</v>
      </c>
      <c r="F129" s="32" t="s">
        <v>43</v>
      </c>
      <c r="G129" s="32" t="s">
        <v>46</v>
      </c>
      <c r="H129" s="33" t="s">
        <v>47</v>
      </c>
      <c r="I129" s="33" t="s">
        <v>48</v>
      </c>
      <c r="J129" s="33" t="s">
        <v>49</v>
      </c>
      <c r="K129" s="33" t="s">
        <v>50</v>
      </c>
      <c r="L129" s="33" t="s">
        <v>51</v>
      </c>
      <c r="M129" s="34" t="s">
        <v>52</v>
      </c>
    </row>
    <row r="130" spans="2:13" s="47" customFormat="1" hidden="1" x14ac:dyDescent="0.25">
      <c r="B130" s="44" t="str">
        <f>CONCATENATE("8.",Prüfkriterien_849[[#This Row],[Spalte2]])</f>
        <v>8.1</v>
      </c>
      <c r="C130" s="45">
        <f>ROW()-ROW(Prüfkriterien_849[[#Headers],[Spalte3]])</f>
        <v>1</v>
      </c>
      <c r="D130" s="45">
        <f>(Prüfkriterien_849[Spalte2]+80)/10</f>
        <v>8.1</v>
      </c>
      <c r="E130" s="31"/>
      <c r="F130" s="32"/>
      <c r="G130" s="32"/>
      <c r="H130" s="70"/>
      <c r="I130" s="70"/>
      <c r="J130" s="70"/>
      <c r="K130" s="70"/>
      <c r="L130" s="70"/>
      <c r="M130" s="49"/>
    </row>
    <row r="131" spans="2:13" s="47" customFormat="1" hidden="1" x14ac:dyDescent="0.25">
      <c r="B131" s="56" t="str">
        <f>CONCATENATE("8.",Prüfkriterien_849[[#This Row],[Spalte2]])</f>
        <v>8.2</v>
      </c>
      <c r="C131" s="57">
        <f>ROW()-ROW(Prüfkriterien_849[[#Headers],[Spalte3]])</f>
        <v>2</v>
      </c>
      <c r="D131" s="57">
        <f>(Prüfkriterien_849[Spalte2]+80)/10</f>
        <v>8.1999999999999993</v>
      </c>
      <c r="E131" s="58"/>
      <c r="F131" s="59"/>
      <c r="G131" s="59"/>
      <c r="H131" s="70"/>
      <c r="I131" s="70"/>
      <c r="J131" s="70"/>
      <c r="K131" s="70"/>
      <c r="L131" s="70"/>
      <c r="M131" s="87"/>
    </row>
    <row r="132" spans="2:13" s="47" customFormat="1" hidden="1" x14ac:dyDescent="0.25">
      <c r="B132" s="44" t="str">
        <f>CONCATENATE("8.",Prüfkriterien_849[[#This Row],[Spalte2]])</f>
        <v>8.3</v>
      </c>
      <c r="C132" s="45">
        <f>ROW()-ROW(Prüfkriterien_849[[#Headers],[Spalte3]])</f>
        <v>3</v>
      </c>
      <c r="D132" s="45">
        <f>(Prüfkriterien_849[Spalte2]+80)/10</f>
        <v>8.3000000000000007</v>
      </c>
      <c r="E132" s="31"/>
      <c r="F132" s="32"/>
      <c r="G132" s="32"/>
      <c r="H132" s="70"/>
      <c r="I132" s="70"/>
      <c r="J132" s="70"/>
      <c r="K132" s="70"/>
      <c r="L132" s="70"/>
      <c r="M132" s="49"/>
    </row>
    <row r="133" spans="2:13" s="47" customFormat="1" hidden="1" x14ac:dyDescent="0.25">
      <c r="B133" s="44" t="str">
        <f>CONCATENATE("8.",Prüfkriterien_849[[#This Row],[Spalte2]])</f>
        <v>8.4</v>
      </c>
      <c r="C133" s="45">
        <f>ROW()-ROW(Prüfkriterien_849[[#Headers],[Spalte3]])</f>
        <v>4</v>
      </c>
      <c r="D133" s="45">
        <f>(Prüfkriterien_849[Spalte2]+80)/10</f>
        <v>8.4</v>
      </c>
      <c r="E133" s="31"/>
      <c r="F133" s="32"/>
      <c r="G133" s="32"/>
      <c r="H133" s="70"/>
      <c r="I133" s="70"/>
      <c r="J133" s="70"/>
      <c r="K133" s="70"/>
      <c r="L133" s="70"/>
      <c r="M133" s="49"/>
    </row>
    <row r="134" spans="2:13" s="47" customFormat="1" hidden="1" x14ac:dyDescent="0.25">
      <c r="B134" s="56" t="str">
        <f>CONCATENATE("8.",Prüfkriterien_849[[#This Row],[Spalte2]])</f>
        <v>8.5</v>
      </c>
      <c r="C134" s="57">
        <f>ROW()-ROW(Prüfkriterien_849[[#Headers],[Spalte3]])</f>
        <v>5</v>
      </c>
      <c r="D134" s="57">
        <f>(Prüfkriterien_849[Spalte2]+80)/10</f>
        <v>8.5</v>
      </c>
      <c r="E134" s="58"/>
      <c r="F134" s="59"/>
      <c r="G134" s="59"/>
      <c r="H134" s="70"/>
      <c r="I134" s="70"/>
      <c r="J134" s="70"/>
      <c r="K134" s="70"/>
      <c r="L134" s="70"/>
      <c r="M134" s="87"/>
    </row>
    <row r="135" spans="2:13" hidden="1" x14ac:dyDescent="0.25">
      <c r="B135" s="173" t="s">
        <v>70</v>
      </c>
      <c r="C135" s="174"/>
      <c r="D135" s="174"/>
      <c r="E135" s="174"/>
      <c r="F135" s="174"/>
      <c r="G135" s="174"/>
      <c r="H135" s="174"/>
      <c r="I135" s="174"/>
      <c r="J135" s="174"/>
      <c r="K135" s="174"/>
      <c r="L135" s="174"/>
      <c r="M135" s="175"/>
    </row>
    <row r="136" spans="2:13" s="47" customFormat="1" hidden="1" x14ac:dyDescent="0.25">
      <c r="B136" s="44" t="s">
        <v>39</v>
      </c>
      <c r="C136" s="45" t="s">
        <v>40</v>
      </c>
      <c r="D136" s="45" t="s">
        <v>41</v>
      </c>
      <c r="E136" s="31" t="s">
        <v>42</v>
      </c>
      <c r="F136" s="32" t="s">
        <v>43</v>
      </c>
      <c r="G136" s="32" t="s">
        <v>46</v>
      </c>
      <c r="H136" s="33" t="s">
        <v>47</v>
      </c>
      <c r="I136" s="33" t="s">
        <v>48</v>
      </c>
      <c r="J136" s="33" t="s">
        <v>49</v>
      </c>
      <c r="K136" s="33" t="s">
        <v>50</v>
      </c>
      <c r="L136" s="33" t="s">
        <v>51</v>
      </c>
      <c r="M136" s="34" t="s">
        <v>52</v>
      </c>
    </row>
    <row r="137" spans="2:13" s="47" customFormat="1" hidden="1" x14ac:dyDescent="0.25">
      <c r="B137" s="44" t="str">
        <f>CONCATENATE("9.",Prüfkriterien_950[[#This Row],[Spalte2]])</f>
        <v>9.1</v>
      </c>
      <c r="C137" s="45">
        <f>ROW()-ROW(Prüfkriterien_950[[#Headers],[Spalte3]])</f>
        <v>1</v>
      </c>
      <c r="D137" s="45">
        <f>(Prüfkriterien_950[Spalte2]+90)/10</f>
        <v>9.1</v>
      </c>
      <c r="E137" s="31"/>
      <c r="F137" s="32"/>
      <c r="G137" s="32"/>
      <c r="H137" s="70"/>
      <c r="I137" s="70"/>
      <c r="J137" s="70"/>
      <c r="K137" s="70"/>
      <c r="L137" s="70"/>
      <c r="M137" s="49"/>
    </row>
    <row r="138" spans="2:13" s="47" customFormat="1" hidden="1" x14ac:dyDescent="0.25">
      <c r="B138" s="56" t="str">
        <f>CONCATENATE("9.",Prüfkriterien_950[[#This Row],[Spalte2]])</f>
        <v>9.2</v>
      </c>
      <c r="C138" s="57">
        <f>ROW()-ROW(Prüfkriterien_950[[#Headers],[Spalte3]])</f>
        <v>2</v>
      </c>
      <c r="D138" s="57">
        <f>(Prüfkriterien_950[Spalte2]+90)/10</f>
        <v>9.1999999999999993</v>
      </c>
      <c r="E138" s="58"/>
      <c r="F138" s="59"/>
      <c r="G138" s="59"/>
      <c r="H138" s="70"/>
      <c r="I138" s="70"/>
      <c r="J138" s="70"/>
      <c r="K138" s="70"/>
      <c r="L138" s="70"/>
      <c r="M138" s="87"/>
    </row>
    <row r="139" spans="2:13" s="47" customFormat="1" hidden="1" x14ac:dyDescent="0.25">
      <c r="B139" s="44" t="str">
        <f>CONCATENATE("9.",Prüfkriterien_950[[#This Row],[Spalte2]])</f>
        <v>9.3</v>
      </c>
      <c r="C139" s="45">
        <f>ROW()-ROW(Prüfkriterien_950[[#Headers],[Spalte3]])</f>
        <v>3</v>
      </c>
      <c r="D139" s="45">
        <f>(Prüfkriterien_950[Spalte2]+90)/10</f>
        <v>9.3000000000000007</v>
      </c>
      <c r="E139" s="31"/>
      <c r="F139" s="32"/>
      <c r="G139" s="32"/>
      <c r="H139" s="70"/>
      <c r="I139" s="70"/>
      <c r="J139" s="70"/>
      <c r="K139" s="70"/>
      <c r="L139" s="70"/>
      <c r="M139" s="49"/>
    </row>
    <row r="140" spans="2:13" s="47" customFormat="1" hidden="1" x14ac:dyDescent="0.25">
      <c r="B140" s="44" t="str">
        <f>CONCATENATE("9.",Prüfkriterien_950[[#This Row],[Spalte2]])</f>
        <v>9.4</v>
      </c>
      <c r="C140" s="45">
        <f>ROW()-ROW(Prüfkriterien_950[[#Headers],[Spalte3]])</f>
        <v>4</v>
      </c>
      <c r="D140" s="45">
        <f>(Prüfkriterien_950[Spalte2]+90)/10</f>
        <v>9.4</v>
      </c>
      <c r="E140" s="31"/>
      <c r="F140" s="32"/>
      <c r="G140" s="32"/>
      <c r="H140" s="70"/>
      <c r="I140" s="70"/>
      <c r="J140" s="70"/>
      <c r="K140" s="70"/>
      <c r="L140" s="70"/>
      <c r="M140" s="49"/>
    </row>
    <row r="141" spans="2:13" s="47" customFormat="1" hidden="1" x14ac:dyDescent="0.25">
      <c r="B141" s="56" t="str">
        <f>CONCATENATE("9.",Prüfkriterien_950[[#This Row],[Spalte2]])</f>
        <v>9.5</v>
      </c>
      <c r="C141" s="57">
        <f>ROW()-ROW(Prüfkriterien_950[[#Headers],[Spalte3]])</f>
        <v>5</v>
      </c>
      <c r="D141" s="57">
        <f>(Prüfkriterien_950[Spalte2]+90)/10</f>
        <v>9.5</v>
      </c>
      <c r="E141" s="58"/>
      <c r="F141" s="59"/>
      <c r="G141" s="59"/>
      <c r="H141" s="70"/>
      <c r="I141" s="70"/>
      <c r="J141" s="70"/>
      <c r="K141" s="70"/>
      <c r="L141" s="70"/>
      <c r="M141" s="87"/>
    </row>
    <row r="142" spans="2:13" hidden="1" x14ac:dyDescent="0.25">
      <c r="B142" s="173" t="s">
        <v>71</v>
      </c>
      <c r="C142" s="174"/>
      <c r="D142" s="174"/>
      <c r="E142" s="174"/>
      <c r="F142" s="174"/>
      <c r="G142" s="174"/>
      <c r="H142" s="174"/>
      <c r="I142" s="174"/>
      <c r="J142" s="174"/>
      <c r="K142" s="174"/>
      <c r="L142" s="174"/>
      <c r="M142" s="175"/>
    </row>
    <row r="143" spans="2:13" s="47" customFormat="1" hidden="1" x14ac:dyDescent="0.25">
      <c r="B143" s="44" t="s">
        <v>39</v>
      </c>
      <c r="C143" s="45" t="s">
        <v>40</v>
      </c>
      <c r="D143" s="45" t="s">
        <v>41</v>
      </c>
      <c r="E143" s="31" t="s">
        <v>42</v>
      </c>
      <c r="F143" s="32" t="s">
        <v>43</v>
      </c>
      <c r="G143" s="32" t="s">
        <v>46</v>
      </c>
      <c r="H143" s="33" t="s">
        <v>47</v>
      </c>
      <c r="I143" s="33" t="s">
        <v>48</v>
      </c>
      <c r="J143" s="33" t="s">
        <v>49</v>
      </c>
      <c r="K143" s="33" t="s">
        <v>50</v>
      </c>
      <c r="L143" s="33" t="s">
        <v>51</v>
      </c>
      <c r="M143" s="34" t="s">
        <v>52</v>
      </c>
    </row>
    <row r="144" spans="2:13" s="47" customFormat="1" hidden="1" x14ac:dyDescent="0.25">
      <c r="B144" s="44" t="str">
        <f>CONCATENATE("10.",Prüfkriterien_1051[[#This Row],[Spalte2]])</f>
        <v>10.1</v>
      </c>
      <c r="C144" s="45">
        <f>ROW()-ROW(Prüfkriterien_1051[[#Headers],[Spalte3]])</f>
        <v>1</v>
      </c>
      <c r="D144" s="45">
        <f>(Prüfkriterien_1051[Spalte2]+100)/10</f>
        <v>10.1</v>
      </c>
      <c r="E144" s="31"/>
      <c r="F144" s="32"/>
      <c r="G144" s="32"/>
      <c r="H144" s="70"/>
      <c r="I144" s="70"/>
      <c r="J144" s="70"/>
      <c r="K144" s="70"/>
      <c r="L144" s="70"/>
      <c r="M144" s="49"/>
    </row>
    <row r="145" spans="2:13" s="47" customFormat="1" hidden="1" x14ac:dyDescent="0.25">
      <c r="B145" s="56" t="str">
        <f>CONCATENATE("10.",Prüfkriterien_1051[[#This Row],[Spalte2]])</f>
        <v>10.2</v>
      </c>
      <c r="C145" s="57">
        <f>ROW()-ROW(Prüfkriterien_1051[[#Headers],[Spalte3]])</f>
        <v>2</v>
      </c>
      <c r="D145" s="57">
        <f>(Prüfkriterien_1051[Spalte2]+100)/10</f>
        <v>10.199999999999999</v>
      </c>
      <c r="E145" s="58"/>
      <c r="F145" s="59"/>
      <c r="G145" s="59"/>
      <c r="H145" s="70"/>
      <c r="I145" s="70"/>
      <c r="J145" s="70"/>
      <c r="K145" s="70"/>
      <c r="L145" s="70"/>
      <c r="M145" s="87"/>
    </row>
    <row r="146" spans="2:13" s="47" customFormat="1" hidden="1" x14ac:dyDescent="0.25">
      <c r="B146" s="44" t="str">
        <f>CONCATENATE("10.",Prüfkriterien_1051[[#This Row],[Spalte2]])</f>
        <v>10.3</v>
      </c>
      <c r="C146" s="45">
        <f>ROW()-ROW(Prüfkriterien_1051[[#Headers],[Spalte3]])</f>
        <v>3</v>
      </c>
      <c r="D146" s="45">
        <f>(Prüfkriterien_1051[Spalte2]+100)/10</f>
        <v>10.3</v>
      </c>
      <c r="E146" s="31"/>
      <c r="F146" s="32"/>
      <c r="G146" s="32"/>
      <c r="H146" s="70"/>
      <c r="I146" s="70"/>
      <c r="J146" s="70"/>
      <c r="K146" s="70"/>
      <c r="L146" s="70"/>
      <c r="M146" s="49"/>
    </row>
    <row r="147" spans="2:13" s="47" customFormat="1" hidden="1" x14ac:dyDescent="0.25">
      <c r="B147" s="44" t="str">
        <f>CONCATENATE("10.",Prüfkriterien_1051[[#This Row],[Spalte2]])</f>
        <v>10.4</v>
      </c>
      <c r="C147" s="45">
        <f>ROW()-ROW(Prüfkriterien_1051[[#Headers],[Spalte3]])</f>
        <v>4</v>
      </c>
      <c r="D147" s="45">
        <f>(Prüfkriterien_1051[Spalte2]+100)/10</f>
        <v>10.4</v>
      </c>
      <c r="E147" s="31"/>
      <c r="F147" s="32"/>
      <c r="G147" s="32"/>
      <c r="H147" s="70"/>
      <c r="I147" s="70"/>
      <c r="J147" s="70"/>
      <c r="K147" s="70"/>
      <c r="L147" s="70"/>
      <c r="M147" s="49"/>
    </row>
    <row r="148" spans="2:13" s="47" customFormat="1" hidden="1" x14ac:dyDescent="0.25">
      <c r="B148" s="56" t="str">
        <f>CONCATENATE("10.",Prüfkriterien_1051[[#This Row],[Spalte2]])</f>
        <v>10.5</v>
      </c>
      <c r="C148" s="57">
        <f>ROW()-ROW(Prüfkriterien_1051[[#Headers],[Spalte3]])</f>
        <v>5</v>
      </c>
      <c r="D148" s="57">
        <f>(Prüfkriterien_1051[Spalte2]+100)/10</f>
        <v>10.5</v>
      </c>
      <c r="E148" s="58"/>
      <c r="F148" s="59"/>
      <c r="G148" s="59"/>
      <c r="H148" s="70"/>
      <c r="I148" s="70"/>
      <c r="J148" s="70"/>
      <c r="K148" s="70"/>
      <c r="L148" s="70"/>
      <c r="M148" s="87"/>
    </row>
    <row r="149" spans="2:13" hidden="1" x14ac:dyDescent="0.25">
      <c r="B149" s="173" t="s">
        <v>72</v>
      </c>
      <c r="C149" s="174"/>
      <c r="D149" s="174"/>
      <c r="E149" s="174"/>
      <c r="F149" s="174"/>
      <c r="G149" s="174"/>
      <c r="H149" s="174"/>
      <c r="I149" s="174"/>
      <c r="J149" s="174"/>
      <c r="K149" s="174"/>
      <c r="L149" s="174"/>
      <c r="M149" s="175"/>
    </row>
    <row r="150" spans="2:13" s="47" customFormat="1" hidden="1" x14ac:dyDescent="0.25">
      <c r="B150" s="44" t="s">
        <v>39</v>
      </c>
      <c r="C150" s="45" t="s">
        <v>40</v>
      </c>
      <c r="D150" s="45" t="s">
        <v>41</v>
      </c>
      <c r="E150" s="31" t="s">
        <v>42</v>
      </c>
      <c r="F150" s="32" t="s">
        <v>43</v>
      </c>
      <c r="G150" s="32" t="s">
        <v>46</v>
      </c>
      <c r="H150" s="33" t="s">
        <v>47</v>
      </c>
      <c r="I150" s="33" t="s">
        <v>48</v>
      </c>
      <c r="J150" s="33" t="s">
        <v>49</v>
      </c>
      <c r="K150" s="33" t="s">
        <v>50</v>
      </c>
      <c r="L150" s="33" t="s">
        <v>51</v>
      </c>
      <c r="M150" s="34" t="s">
        <v>52</v>
      </c>
    </row>
    <row r="151" spans="2:13" s="47" customFormat="1" hidden="1" x14ac:dyDescent="0.25">
      <c r="B151" s="44" t="str">
        <f>CONCATENATE("11.",Prüfkriterien_1152[[#This Row],[Spalte2]])</f>
        <v>11.1</v>
      </c>
      <c r="C151" s="45">
        <f>ROW()-ROW(Prüfkriterien_1152[[#Headers],[Spalte3]])</f>
        <v>1</v>
      </c>
      <c r="D151" s="45">
        <f>(Prüfkriterien_1152[Spalte2]+110)/10</f>
        <v>11.1</v>
      </c>
      <c r="E151" s="31"/>
      <c r="F151" s="32"/>
      <c r="G151" s="32"/>
      <c r="H151" s="70"/>
      <c r="I151" s="70"/>
      <c r="J151" s="70"/>
      <c r="K151" s="70"/>
      <c r="L151" s="70"/>
      <c r="M151" s="49"/>
    </row>
    <row r="152" spans="2:13" s="47" customFormat="1" hidden="1" x14ac:dyDescent="0.25">
      <c r="B152" s="56" t="str">
        <f>CONCATENATE("11.",Prüfkriterien_1152[[#This Row],[Spalte2]])</f>
        <v>11.2</v>
      </c>
      <c r="C152" s="57">
        <f>ROW()-ROW(Prüfkriterien_1152[[#Headers],[Spalte3]])</f>
        <v>2</v>
      </c>
      <c r="D152" s="57">
        <f>(Prüfkriterien_1152[Spalte2]+110)/10</f>
        <v>11.2</v>
      </c>
      <c r="E152" s="58"/>
      <c r="F152" s="59"/>
      <c r="G152" s="59"/>
      <c r="H152" s="70"/>
      <c r="I152" s="70"/>
      <c r="J152" s="70"/>
      <c r="K152" s="70"/>
      <c r="L152" s="70"/>
      <c r="M152" s="87"/>
    </row>
    <row r="153" spans="2:13" s="47" customFormat="1" hidden="1" x14ac:dyDescent="0.25">
      <c r="B153" s="44" t="str">
        <f>CONCATENATE("11.",Prüfkriterien_1152[[#This Row],[Spalte2]])</f>
        <v>11.3</v>
      </c>
      <c r="C153" s="45">
        <f>ROW()-ROW(Prüfkriterien_1152[[#Headers],[Spalte3]])</f>
        <v>3</v>
      </c>
      <c r="D153" s="45">
        <f>(Prüfkriterien_1152[Spalte2]+110)/10</f>
        <v>11.3</v>
      </c>
      <c r="E153" s="31"/>
      <c r="F153" s="32"/>
      <c r="G153" s="32"/>
      <c r="H153" s="70"/>
      <c r="I153" s="70"/>
      <c r="J153" s="70"/>
      <c r="K153" s="70"/>
      <c r="L153" s="70"/>
      <c r="M153" s="49"/>
    </row>
    <row r="154" spans="2:13" s="47" customFormat="1" hidden="1" x14ac:dyDescent="0.25">
      <c r="B154" s="44" t="str">
        <f>CONCATENATE("11.",Prüfkriterien_1152[[#This Row],[Spalte2]])</f>
        <v>11.4</v>
      </c>
      <c r="C154" s="45">
        <f>ROW()-ROW(Prüfkriterien_1152[[#Headers],[Spalte3]])</f>
        <v>4</v>
      </c>
      <c r="D154" s="45">
        <f>(Prüfkriterien_1152[Spalte2]+110)/10</f>
        <v>11.4</v>
      </c>
      <c r="E154" s="31"/>
      <c r="F154" s="32"/>
      <c r="G154" s="32"/>
      <c r="H154" s="70"/>
      <c r="I154" s="70"/>
      <c r="J154" s="70"/>
      <c r="K154" s="70"/>
      <c r="L154" s="70"/>
      <c r="M154" s="49"/>
    </row>
    <row r="155" spans="2:13" s="47" customFormat="1" hidden="1" x14ac:dyDescent="0.25">
      <c r="B155" s="56" t="str">
        <f>CONCATENATE("11.",Prüfkriterien_1152[[#This Row],[Spalte2]])</f>
        <v>11.5</v>
      </c>
      <c r="C155" s="57">
        <f>ROW()-ROW(Prüfkriterien_1152[[#Headers],[Spalte3]])</f>
        <v>5</v>
      </c>
      <c r="D155" s="57">
        <f>(Prüfkriterien_1152[Spalte2]+110)/10</f>
        <v>11.5</v>
      </c>
      <c r="E155" s="58"/>
      <c r="F155" s="59"/>
      <c r="G155" s="59"/>
      <c r="H155" s="70"/>
      <c r="I155" s="70"/>
      <c r="J155" s="70"/>
      <c r="K155" s="70"/>
      <c r="L155" s="70"/>
      <c r="M155" s="87"/>
    </row>
    <row r="156" spans="2:13" hidden="1" x14ac:dyDescent="0.25">
      <c r="B156" s="173" t="s">
        <v>88</v>
      </c>
      <c r="C156" s="174"/>
      <c r="D156" s="174"/>
      <c r="E156" s="174"/>
      <c r="F156" s="174"/>
      <c r="G156" s="174"/>
      <c r="H156" s="174"/>
      <c r="I156" s="174"/>
      <c r="J156" s="174"/>
      <c r="K156" s="174"/>
      <c r="L156" s="174"/>
      <c r="M156" s="175"/>
    </row>
    <row r="157" spans="2:13" hidden="1" x14ac:dyDescent="0.25">
      <c r="B157" s="44" t="s">
        <v>39</v>
      </c>
      <c r="C157" s="45" t="s">
        <v>40</v>
      </c>
      <c r="D157" s="45" t="s">
        <v>41</v>
      </c>
      <c r="E157" s="31" t="s">
        <v>42</v>
      </c>
      <c r="F157" s="32" t="s">
        <v>43</v>
      </c>
      <c r="G157" s="32" t="s">
        <v>46</v>
      </c>
      <c r="H157" s="33" t="s">
        <v>47</v>
      </c>
      <c r="I157" s="33" t="s">
        <v>48</v>
      </c>
      <c r="J157" s="33" t="s">
        <v>49</v>
      </c>
      <c r="K157" s="33" t="s">
        <v>50</v>
      </c>
      <c r="L157" s="33" t="s">
        <v>51</v>
      </c>
      <c r="M157" s="34" t="s">
        <v>52</v>
      </c>
    </row>
    <row r="158" spans="2:13" hidden="1" x14ac:dyDescent="0.25">
      <c r="B158" s="44" t="str">
        <f>CONCATENATE("12.",Prüfkriterien_111353[[#This Row],[Spalte2]])</f>
        <v>12.1</v>
      </c>
      <c r="C158" s="45">
        <f>ROW()-ROW(Prüfkriterien_111353[[#Headers],[Spalte3]])</f>
        <v>1</v>
      </c>
      <c r="D158" s="45">
        <f>(Prüfkriterien_111353[Spalte2]+120)/10</f>
        <v>12.1</v>
      </c>
      <c r="E158" s="31"/>
      <c r="F158" s="32"/>
      <c r="G158" s="32"/>
      <c r="H158" s="70"/>
      <c r="I158" s="70"/>
      <c r="J158" s="70"/>
      <c r="K158" s="70"/>
      <c r="L158" s="70"/>
      <c r="M158" s="49"/>
    </row>
    <row r="159" spans="2:13" hidden="1" x14ac:dyDescent="0.25">
      <c r="B159" s="56" t="str">
        <f>CONCATENATE("12.",Prüfkriterien_111353[[#This Row],[Spalte2]])</f>
        <v>12.2</v>
      </c>
      <c r="C159" s="57">
        <f>ROW()-ROW(Prüfkriterien_111353[[#Headers],[Spalte3]])</f>
        <v>2</v>
      </c>
      <c r="D159" s="57">
        <f>(Prüfkriterien_111353[Spalte2]+120)/10</f>
        <v>12.2</v>
      </c>
      <c r="E159" s="58"/>
      <c r="F159" s="59"/>
      <c r="G159" s="59"/>
      <c r="H159" s="70"/>
      <c r="I159" s="70"/>
      <c r="J159" s="70"/>
      <c r="K159" s="70"/>
      <c r="L159" s="70"/>
      <c r="M159" s="87"/>
    </row>
    <row r="160" spans="2:13" hidden="1" x14ac:dyDescent="0.25">
      <c r="B160" s="44" t="str">
        <f>CONCATENATE("12.",Prüfkriterien_111353[[#This Row],[Spalte2]])</f>
        <v>12.3</v>
      </c>
      <c r="C160" s="45">
        <f>ROW()-ROW(Prüfkriterien_111353[[#Headers],[Spalte3]])</f>
        <v>3</v>
      </c>
      <c r="D160" s="45">
        <f>(Prüfkriterien_111353[Spalte2]+120)/10</f>
        <v>12.3</v>
      </c>
      <c r="E160" s="31"/>
      <c r="F160" s="32"/>
      <c r="G160" s="32"/>
      <c r="H160" s="70"/>
      <c r="I160" s="70"/>
      <c r="J160" s="70"/>
      <c r="K160" s="70"/>
      <c r="L160" s="70"/>
      <c r="M160" s="49"/>
    </row>
    <row r="161" spans="2:13" hidden="1" x14ac:dyDescent="0.25">
      <c r="B161" s="44" t="str">
        <f>CONCATENATE("12.",Prüfkriterien_111353[[#This Row],[Spalte2]])</f>
        <v>12.4</v>
      </c>
      <c r="C161" s="45">
        <f>ROW()-ROW(Prüfkriterien_111353[[#Headers],[Spalte3]])</f>
        <v>4</v>
      </c>
      <c r="D161" s="45">
        <f>(Prüfkriterien_111353[Spalte2]+120)/10</f>
        <v>12.4</v>
      </c>
      <c r="E161" s="31"/>
      <c r="F161" s="32"/>
      <c r="G161" s="32"/>
      <c r="H161" s="70"/>
      <c r="I161" s="70"/>
      <c r="J161" s="70"/>
      <c r="K161" s="70"/>
      <c r="L161" s="70"/>
      <c r="M161" s="49"/>
    </row>
    <row r="162" spans="2:13" hidden="1" x14ac:dyDescent="0.25">
      <c r="B162" s="56" t="str">
        <f>CONCATENATE("12.",Prüfkriterien_111353[[#This Row],[Spalte2]])</f>
        <v>12.5</v>
      </c>
      <c r="C162" s="57">
        <f>ROW()-ROW(Prüfkriterien_111353[[#Headers],[Spalte3]])</f>
        <v>5</v>
      </c>
      <c r="D162" s="57">
        <f>(Prüfkriterien_111353[Spalte2]+120)/10</f>
        <v>12.5</v>
      </c>
      <c r="E162" s="58"/>
      <c r="F162" s="59"/>
      <c r="G162" s="59"/>
      <c r="H162" s="70"/>
      <c r="I162" s="70"/>
      <c r="J162" s="70"/>
      <c r="K162" s="70"/>
      <c r="L162" s="70"/>
      <c r="M162" s="87"/>
    </row>
    <row r="163" spans="2:13" hidden="1" x14ac:dyDescent="0.25">
      <c r="B163" s="173" t="s">
        <v>89</v>
      </c>
      <c r="C163" s="174"/>
      <c r="D163" s="174"/>
      <c r="E163" s="174"/>
      <c r="F163" s="174"/>
      <c r="G163" s="174"/>
      <c r="H163" s="174"/>
      <c r="I163" s="174"/>
      <c r="J163" s="174"/>
      <c r="K163" s="174"/>
      <c r="L163" s="174"/>
      <c r="M163" s="175"/>
    </row>
    <row r="164" spans="2:13" hidden="1" x14ac:dyDescent="0.25">
      <c r="B164" s="44" t="s">
        <v>39</v>
      </c>
      <c r="C164" s="45" t="s">
        <v>40</v>
      </c>
      <c r="D164" s="45" t="s">
        <v>41</v>
      </c>
      <c r="E164" s="31" t="s">
        <v>42</v>
      </c>
      <c r="F164" s="32" t="s">
        <v>43</v>
      </c>
      <c r="G164" s="32" t="s">
        <v>46</v>
      </c>
      <c r="H164" s="33" t="s">
        <v>47</v>
      </c>
      <c r="I164" s="33" t="s">
        <v>48</v>
      </c>
      <c r="J164" s="33" t="s">
        <v>49</v>
      </c>
      <c r="K164" s="33" t="s">
        <v>50</v>
      </c>
      <c r="L164" s="33" t="s">
        <v>51</v>
      </c>
      <c r="M164" s="34" t="s">
        <v>52</v>
      </c>
    </row>
    <row r="165" spans="2:13" hidden="1" x14ac:dyDescent="0.25">
      <c r="B165" s="44" t="str">
        <f>CONCATENATE("13.",Prüfkriterien_111454[[#This Row],[Spalte2]])</f>
        <v>13.1</v>
      </c>
      <c r="C165" s="45">
        <f>ROW()-ROW(Prüfkriterien_111454[[#Headers],[Spalte3]])</f>
        <v>1</v>
      </c>
      <c r="D165" s="45">
        <f>(Prüfkriterien_111454[Spalte2]+130)/10</f>
        <v>13.1</v>
      </c>
      <c r="E165" s="31"/>
      <c r="F165" s="32"/>
      <c r="G165" s="32"/>
      <c r="H165" s="70"/>
      <c r="I165" s="70"/>
      <c r="J165" s="70"/>
      <c r="K165" s="70"/>
      <c r="L165" s="70"/>
      <c r="M165" s="49"/>
    </row>
    <row r="166" spans="2:13" hidden="1" x14ac:dyDescent="0.25">
      <c r="B166" s="56" t="str">
        <f>CONCATENATE("13.",Prüfkriterien_111454[[#This Row],[Spalte2]])</f>
        <v>13.2</v>
      </c>
      <c r="C166" s="57">
        <f>ROW()-ROW(Prüfkriterien_111454[[#Headers],[Spalte3]])</f>
        <v>2</v>
      </c>
      <c r="D166" s="57">
        <f>(Prüfkriterien_111454[Spalte2]+130)/10</f>
        <v>13.2</v>
      </c>
      <c r="E166" s="58"/>
      <c r="F166" s="59"/>
      <c r="G166" s="59"/>
      <c r="H166" s="70"/>
      <c r="I166" s="70"/>
      <c r="J166" s="70"/>
      <c r="K166" s="70"/>
      <c r="L166" s="70"/>
      <c r="M166" s="87"/>
    </row>
    <row r="167" spans="2:13" hidden="1" x14ac:dyDescent="0.25">
      <c r="B167" s="44" t="str">
        <f>CONCATENATE("13.",Prüfkriterien_111454[[#This Row],[Spalte2]])</f>
        <v>13.3</v>
      </c>
      <c r="C167" s="45">
        <f>ROW()-ROW(Prüfkriterien_111454[[#Headers],[Spalte3]])</f>
        <v>3</v>
      </c>
      <c r="D167" s="45">
        <f>(Prüfkriterien_111454[Spalte2]+130)/10</f>
        <v>13.3</v>
      </c>
      <c r="E167" s="31"/>
      <c r="F167" s="32"/>
      <c r="G167" s="32"/>
      <c r="H167" s="70"/>
      <c r="I167" s="70"/>
      <c r="J167" s="70"/>
      <c r="K167" s="70"/>
      <c r="L167" s="70"/>
      <c r="M167" s="49"/>
    </row>
    <row r="168" spans="2:13" hidden="1" x14ac:dyDescent="0.25">
      <c r="B168" s="44" t="str">
        <f>CONCATENATE("13.",Prüfkriterien_111454[[#This Row],[Spalte2]])</f>
        <v>13.4</v>
      </c>
      <c r="C168" s="45">
        <f>ROW()-ROW(Prüfkriterien_111454[[#Headers],[Spalte3]])</f>
        <v>4</v>
      </c>
      <c r="D168" s="45">
        <f>(Prüfkriterien_111454[Spalte2]+130)/10</f>
        <v>13.4</v>
      </c>
      <c r="E168" s="31"/>
      <c r="F168" s="32"/>
      <c r="G168" s="32"/>
      <c r="H168" s="70"/>
      <c r="I168" s="70"/>
      <c r="J168" s="70"/>
      <c r="K168" s="70"/>
      <c r="L168" s="70"/>
      <c r="M168" s="49"/>
    </row>
    <row r="169" spans="2:13" hidden="1" x14ac:dyDescent="0.25">
      <c r="B169" s="56" t="str">
        <f>CONCATENATE("13.",Prüfkriterien_111454[[#This Row],[Spalte2]])</f>
        <v>13.5</v>
      </c>
      <c r="C169" s="57">
        <f>ROW()-ROW(Prüfkriterien_111454[[#Headers],[Spalte3]])</f>
        <v>5</v>
      </c>
      <c r="D169" s="57">
        <f>(Prüfkriterien_111454[Spalte2]+130)/10</f>
        <v>13.5</v>
      </c>
      <c r="E169" s="58"/>
      <c r="F169" s="59"/>
      <c r="G169" s="59"/>
      <c r="H169" s="70"/>
      <c r="I169" s="70"/>
      <c r="J169" s="70"/>
      <c r="K169" s="70"/>
      <c r="L169" s="70"/>
      <c r="M169" s="87"/>
    </row>
    <row r="170" spans="2:13" hidden="1" x14ac:dyDescent="0.25">
      <c r="B170" s="173" t="s">
        <v>90</v>
      </c>
      <c r="C170" s="174"/>
      <c r="D170" s="174"/>
      <c r="E170" s="174"/>
      <c r="F170" s="174"/>
      <c r="G170" s="174"/>
      <c r="H170" s="174"/>
      <c r="I170" s="174"/>
      <c r="J170" s="174"/>
      <c r="K170" s="174"/>
      <c r="L170" s="174"/>
      <c r="M170" s="175"/>
    </row>
    <row r="171" spans="2:13" hidden="1" x14ac:dyDescent="0.25">
      <c r="B171" s="44" t="s">
        <v>39</v>
      </c>
      <c r="C171" s="45" t="s">
        <v>40</v>
      </c>
      <c r="D171" s="45" t="s">
        <v>41</v>
      </c>
      <c r="E171" s="31" t="s">
        <v>42</v>
      </c>
      <c r="F171" s="32" t="s">
        <v>43</v>
      </c>
      <c r="G171" s="32" t="s">
        <v>46</v>
      </c>
      <c r="H171" s="33" t="s">
        <v>47</v>
      </c>
      <c r="I171" s="33" t="s">
        <v>48</v>
      </c>
      <c r="J171" s="33" t="s">
        <v>49</v>
      </c>
      <c r="K171" s="33" t="s">
        <v>50</v>
      </c>
      <c r="L171" s="33" t="s">
        <v>51</v>
      </c>
      <c r="M171" s="34" t="s">
        <v>52</v>
      </c>
    </row>
    <row r="172" spans="2:13" hidden="1" x14ac:dyDescent="0.25">
      <c r="B172" s="44" t="str">
        <f>CONCATENATE("14.",Prüfkriterien_111555[[#This Row],[Spalte2]])</f>
        <v>14.1</v>
      </c>
      <c r="C172" s="45">
        <f>ROW()-ROW(Prüfkriterien_111555[[#Headers],[Spalte3]])</f>
        <v>1</v>
      </c>
      <c r="D172" s="45">
        <f>(Prüfkriterien_111555[Spalte2]+140)/10</f>
        <v>14.1</v>
      </c>
      <c r="E172" s="31"/>
      <c r="F172" s="32"/>
      <c r="G172" s="32"/>
      <c r="H172" s="70"/>
      <c r="I172" s="70"/>
      <c r="J172" s="70"/>
      <c r="K172" s="70"/>
      <c r="L172" s="70"/>
      <c r="M172" s="49"/>
    </row>
    <row r="173" spans="2:13" hidden="1" x14ac:dyDescent="0.25">
      <c r="B173" s="56" t="str">
        <f>CONCATENATE("14.",Prüfkriterien_111555[[#This Row],[Spalte2]])</f>
        <v>14.2</v>
      </c>
      <c r="C173" s="57">
        <f>ROW()-ROW(Prüfkriterien_111555[[#Headers],[Spalte3]])</f>
        <v>2</v>
      </c>
      <c r="D173" s="57">
        <f>(Prüfkriterien_111555[Spalte2]+140)/10</f>
        <v>14.2</v>
      </c>
      <c r="E173" s="58"/>
      <c r="F173" s="59"/>
      <c r="G173" s="59"/>
      <c r="H173" s="70"/>
      <c r="I173" s="70"/>
      <c r="J173" s="70"/>
      <c r="K173" s="70"/>
      <c r="L173" s="70"/>
      <c r="M173" s="87"/>
    </row>
    <row r="174" spans="2:13" hidden="1" x14ac:dyDescent="0.25">
      <c r="B174" s="44" t="str">
        <f>CONCATENATE("14.",Prüfkriterien_111555[[#This Row],[Spalte2]])</f>
        <v>14.3</v>
      </c>
      <c r="C174" s="45">
        <f>ROW()-ROW(Prüfkriterien_111555[[#Headers],[Spalte3]])</f>
        <v>3</v>
      </c>
      <c r="D174" s="45">
        <f>(Prüfkriterien_111555[Spalte2]+140)/10</f>
        <v>14.3</v>
      </c>
      <c r="E174" s="31"/>
      <c r="F174" s="32"/>
      <c r="G174" s="32"/>
      <c r="H174" s="70"/>
      <c r="I174" s="70"/>
      <c r="J174" s="70"/>
      <c r="K174" s="70"/>
      <c r="L174" s="70"/>
      <c r="M174" s="49"/>
    </row>
    <row r="175" spans="2:13" hidden="1" x14ac:dyDescent="0.25">
      <c r="B175" s="44" t="str">
        <f>CONCATENATE("14.",Prüfkriterien_111555[[#This Row],[Spalte2]])</f>
        <v>14.4</v>
      </c>
      <c r="C175" s="45">
        <f>ROW()-ROW(Prüfkriterien_111555[[#Headers],[Spalte3]])</f>
        <v>4</v>
      </c>
      <c r="D175" s="45">
        <f>(Prüfkriterien_111555[Spalte2]+140)/10</f>
        <v>14.4</v>
      </c>
      <c r="E175" s="31"/>
      <c r="F175" s="32"/>
      <c r="G175" s="32"/>
      <c r="H175" s="70"/>
      <c r="I175" s="70"/>
      <c r="J175" s="70"/>
      <c r="K175" s="70"/>
      <c r="L175" s="70"/>
      <c r="M175" s="49"/>
    </row>
    <row r="176" spans="2:13" hidden="1" x14ac:dyDescent="0.25">
      <c r="B176" s="56" t="str">
        <f>CONCATENATE("14.",Prüfkriterien_111555[[#This Row],[Spalte2]])</f>
        <v>14.5</v>
      </c>
      <c r="C176" s="57">
        <f>ROW()-ROW(Prüfkriterien_111555[[#Headers],[Spalte3]])</f>
        <v>5</v>
      </c>
      <c r="D176" s="57">
        <f>(Prüfkriterien_111555[Spalte2]+140)/10</f>
        <v>14.5</v>
      </c>
      <c r="E176" s="58"/>
      <c r="F176" s="59"/>
      <c r="G176" s="59"/>
      <c r="H176" s="70"/>
      <c r="I176" s="70"/>
      <c r="J176" s="70"/>
      <c r="K176" s="70"/>
      <c r="L176" s="70"/>
      <c r="M176" s="87"/>
    </row>
    <row r="177" spans="2:13" hidden="1" x14ac:dyDescent="0.25">
      <c r="B177" s="173" t="s">
        <v>91</v>
      </c>
      <c r="C177" s="174"/>
      <c r="D177" s="174"/>
      <c r="E177" s="174"/>
      <c r="F177" s="174"/>
      <c r="G177" s="174"/>
      <c r="H177" s="174"/>
      <c r="I177" s="174"/>
      <c r="J177" s="174"/>
      <c r="K177" s="174"/>
      <c r="L177" s="174"/>
      <c r="M177" s="175"/>
    </row>
    <row r="178" spans="2:13" hidden="1" x14ac:dyDescent="0.25">
      <c r="B178" s="44" t="s">
        <v>39</v>
      </c>
      <c r="C178" s="45" t="s">
        <v>40</v>
      </c>
      <c r="D178" s="45" t="s">
        <v>41</v>
      </c>
      <c r="E178" s="31" t="s">
        <v>42</v>
      </c>
      <c r="F178" s="32" t="s">
        <v>43</v>
      </c>
      <c r="G178" s="32" t="s">
        <v>46</v>
      </c>
      <c r="H178" s="33" t="s">
        <v>47</v>
      </c>
      <c r="I178" s="33" t="s">
        <v>48</v>
      </c>
      <c r="J178" s="33" t="s">
        <v>49</v>
      </c>
      <c r="K178" s="33" t="s">
        <v>50</v>
      </c>
      <c r="L178" s="33" t="s">
        <v>51</v>
      </c>
      <c r="M178" s="34" t="s">
        <v>52</v>
      </c>
    </row>
    <row r="179" spans="2:13" hidden="1" x14ac:dyDescent="0.25">
      <c r="B179" s="44" t="str">
        <f>CONCATENATE("15.",Prüfkriterien_111656[[#This Row],[Spalte2]])</f>
        <v>15.1</v>
      </c>
      <c r="C179" s="45">
        <f>ROW()-ROW(Prüfkriterien_111656[[#Headers],[Spalte3]])</f>
        <v>1</v>
      </c>
      <c r="D179" s="45">
        <f>(Prüfkriterien_111656[Spalte2]+150)/10</f>
        <v>15.1</v>
      </c>
      <c r="E179" s="31"/>
      <c r="F179" s="32"/>
      <c r="G179" s="32"/>
      <c r="H179" s="70"/>
      <c r="I179" s="70"/>
      <c r="J179" s="70"/>
      <c r="K179" s="70"/>
      <c r="L179" s="70"/>
      <c r="M179" s="49"/>
    </row>
    <row r="180" spans="2:13" hidden="1" x14ac:dyDescent="0.25">
      <c r="B180" s="56" t="str">
        <f>CONCATENATE("15.",Prüfkriterien_111656[[#This Row],[Spalte2]])</f>
        <v>15.2</v>
      </c>
      <c r="C180" s="57">
        <f>ROW()-ROW(Prüfkriterien_111656[[#Headers],[Spalte3]])</f>
        <v>2</v>
      </c>
      <c r="D180" s="57">
        <f>(Prüfkriterien_111656[Spalte2]+150)/10</f>
        <v>15.2</v>
      </c>
      <c r="E180" s="58"/>
      <c r="F180" s="59"/>
      <c r="G180" s="59"/>
      <c r="H180" s="70"/>
      <c r="I180" s="70"/>
      <c r="J180" s="70"/>
      <c r="K180" s="70"/>
      <c r="L180" s="70"/>
      <c r="M180" s="87"/>
    </row>
    <row r="181" spans="2:13" hidden="1" x14ac:dyDescent="0.25">
      <c r="B181" s="44" t="str">
        <f>CONCATENATE("15.",Prüfkriterien_111656[[#This Row],[Spalte2]])</f>
        <v>15.3</v>
      </c>
      <c r="C181" s="45">
        <f>ROW()-ROW(Prüfkriterien_111656[[#Headers],[Spalte3]])</f>
        <v>3</v>
      </c>
      <c r="D181" s="45">
        <f>(Prüfkriterien_111656[Spalte2]+150)/10</f>
        <v>15.3</v>
      </c>
      <c r="E181" s="31"/>
      <c r="F181" s="32"/>
      <c r="G181" s="32"/>
      <c r="H181" s="70"/>
      <c r="I181" s="70"/>
      <c r="J181" s="70"/>
      <c r="K181" s="70"/>
      <c r="L181" s="70"/>
      <c r="M181" s="49"/>
    </row>
    <row r="182" spans="2:13" hidden="1" x14ac:dyDescent="0.25">
      <c r="B182" s="44" t="str">
        <f>CONCATENATE("15.",Prüfkriterien_111656[[#This Row],[Spalte2]])</f>
        <v>15.4</v>
      </c>
      <c r="C182" s="45">
        <f>ROW()-ROW(Prüfkriterien_111656[[#Headers],[Spalte3]])</f>
        <v>4</v>
      </c>
      <c r="D182" s="45">
        <f>(Prüfkriterien_111656[Spalte2]+150)/10</f>
        <v>15.4</v>
      </c>
      <c r="E182" s="31"/>
      <c r="F182" s="32"/>
      <c r="G182" s="32"/>
      <c r="H182" s="70"/>
      <c r="I182" s="70"/>
      <c r="J182" s="70"/>
      <c r="K182" s="70"/>
      <c r="L182" s="70"/>
      <c r="M182" s="49"/>
    </row>
    <row r="183" spans="2:13" hidden="1" x14ac:dyDescent="0.25">
      <c r="B183" s="56" t="str">
        <f>CONCATENATE("15.",Prüfkriterien_111656[[#This Row],[Spalte2]])</f>
        <v>15.5</v>
      </c>
      <c r="C183" s="57">
        <f>ROW()-ROW(Prüfkriterien_111656[[#Headers],[Spalte3]])</f>
        <v>5</v>
      </c>
      <c r="D183" s="57">
        <f>(Prüfkriterien_111656[Spalte2]+150)/10</f>
        <v>15.5</v>
      </c>
      <c r="E183" s="58"/>
      <c r="F183" s="59"/>
      <c r="G183" s="59"/>
      <c r="H183" s="70"/>
      <c r="I183" s="70"/>
      <c r="J183" s="70"/>
      <c r="K183" s="70"/>
      <c r="L183" s="70"/>
      <c r="M183" s="87"/>
    </row>
    <row r="184" spans="2:13" hidden="1" x14ac:dyDescent="0.25">
      <c r="B184" s="173" t="s">
        <v>92</v>
      </c>
      <c r="C184" s="174"/>
      <c r="D184" s="174"/>
      <c r="E184" s="174"/>
      <c r="F184" s="174"/>
      <c r="G184" s="174"/>
      <c r="H184" s="174"/>
      <c r="I184" s="174"/>
      <c r="J184" s="174"/>
      <c r="K184" s="174"/>
      <c r="L184" s="174"/>
      <c r="M184" s="175"/>
    </row>
    <row r="185" spans="2:13" hidden="1" x14ac:dyDescent="0.25">
      <c r="B185" s="44" t="s">
        <v>39</v>
      </c>
      <c r="C185" s="45" t="s">
        <v>40</v>
      </c>
      <c r="D185" s="45" t="s">
        <v>41</v>
      </c>
      <c r="E185" s="31" t="s">
        <v>42</v>
      </c>
      <c r="F185" s="32" t="s">
        <v>43</v>
      </c>
      <c r="G185" s="32" t="s">
        <v>46</v>
      </c>
      <c r="H185" s="33" t="s">
        <v>47</v>
      </c>
      <c r="I185" s="33" t="s">
        <v>48</v>
      </c>
      <c r="J185" s="33" t="s">
        <v>49</v>
      </c>
      <c r="K185" s="33" t="s">
        <v>50</v>
      </c>
      <c r="L185" s="33" t="s">
        <v>51</v>
      </c>
      <c r="M185" s="34" t="s">
        <v>52</v>
      </c>
    </row>
    <row r="186" spans="2:13" hidden="1" x14ac:dyDescent="0.25">
      <c r="B186" s="44" t="str">
        <f>CONCATENATE("16.",Prüfkriterien_111757[[#This Row],[Spalte2]])</f>
        <v>16.1</v>
      </c>
      <c r="C186" s="45">
        <f>ROW()-ROW(Prüfkriterien_111757[[#Headers],[Spalte3]])</f>
        <v>1</v>
      </c>
      <c r="D186" s="45">
        <f>(Prüfkriterien_111757[Spalte2]+160)/10</f>
        <v>16.100000000000001</v>
      </c>
      <c r="E186" s="31"/>
      <c r="F186" s="32"/>
      <c r="G186" s="32"/>
      <c r="H186" s="70"/>
      <c r="I186" s="70"/>
      <c r="J186" s="70"/>
      <c r="K186" s="70"/>
      <c r="L186" s="70"/>
      <c r="M186" s="49"/>
    </row>
    <row r="187" spans="2:13" hidden="1" x14ac:dyDescent="0.25">
      <c r="B187" s="56" t="str">
        <f>CONCATENATE("16.",Prüfkriterien_111757[[#This Row],[Spalte2]])</f>
        <v>16.2</v>
      </c>
      <c r="C187" s="57">
        <f>ROW()-ROW(Prüfkriterien_111757[[#Headers],[Spalte3]])</f>
        <v>2</v>
      </c>
      <c r="D187" s="57">
        <f>(Prüfkriterien_111757[Spalte2]+160)/10</f>
        <v>16.2</v>
      </c>
      <c r="E187" s="58"/>
      <c r="F187" s="59"/>
      <c r="G187" s="59"/>
      <c r="H187" s="70"/>
      <c r="I187" s="70"/>
      <c r="J187" s="70"/>
      <c r="K187" s="70"/>
      <c r="L187" s="70"/>
      <c r="M187" s="87"/>
    </row>
    <row r="188" spans="2:13" hidden="1" x14ac:dyDescent="0.25">
      <c r="B188" s="44" t="str">
        <f>CONCATENATE("16.",Prüfkriterien_111757[[#This Row],[Spalte2]])</f>
        <v>16.3</v>
      </c>
      <c r="C188" s="45">
        <f>ROW()-ROW(Prüfkriterien_111757[[#Headers],[Spalte3]])</f>
        <v>3</v>
      </c>
      <c r="D188" s="45">
        <f>(Prüfkriterien_111757[Spalte2]+160)/10</f>
        <v>16.3</v>
      </c>
      <c r="E188" s="31"/>
      <c r="F188" s="32"/>
      <c r="G188" s="32"/>
      <c r="H188" s="70"/>
      <c r="I188" s="70"/>
      <c r="J188" s="70"/>
      <c r="K188" s="70"/>
      <c r="L188" s="70"/>
      <c r="M188" s="49"/>
    </row>
    <row r="189" spans="2:13" hidden="1" x14ac:dyDescent="0.25">
      <c r="B189" s="44" t="str">
        <f>CONCATENATE("16.",Prüfkriterien_111757[[#This Row],[Spalte2]])</f>
        <v>16.4</v>
      </c>
      <c r="C189" s="45">
        <f>ROW()-ROW(Prüfkriterien_111757[[#Headers],[Spalte3]])</f>
        <v>4</v>
      </c>
      <c r="D189" s="45">
        <f>(Prüfkriterien_111757[Spalte2]+160)/10</f>
        <v>16.399999999999999</v>
      </c>
      <c r="E189" s="31"/>
      <c r="F189" s="32"/>
      <c r="G189" s="32"/>
      <c r="H189" s="70"/>
      <c r="I189" s="70"/>
      <c r="J189" s="70"/>
      <c r="K189" s="70"/>
      <c r="L189" s="70"/>
      <c r="M189" s="49"/>
    </row>
    <row r="190" spans="2:13" hidden="1" x14ac:dyDescent="0.25">
      <c r="B190" s="56" t="str">
        <f>CONCATENATE("16.",Prüfkriterien_111757[[#This Row],[Spalte2]])</f>
        <v>16.5</v>
      </c>
      <c r="C190" s="57">
        <f>ROW()-ROW(Prüfkriterien_111757[[#Headers],[Spalte3]])</f>
        <v>5</v>
      </c>
      <c r="D190" s="57">
        <f>(Prüfkriterien_111757[Spalte2]+160)/10</f>
        <v>16.5</v>
      </c>
      <c r="E190" s="58"/>
      <c r="F190" s="59"/>
      <c r="G190" s="59"/>
      <c r="H190" s="70"/>
      <c r="I190" s="70"/>
      <c r="J190" s="70"/>
      <c r="K190" s="70"/>
      <c r="L190" s="70"/>
      <c r="M190" s="87"/>
    </row>
    <row r="191" spans="2:13" hidden="1" x14ac:dyDescent="0.25">
      <c r="B191" s="173" t="s">
        <v>93</v>
      </c>
      <c r="C191" s="174"/>
      <c r="D191" s="174"/>
      <c r="E191" s="174"/>
      <c r="F191" s="174"/>
      <c r="G191" s="174"/>
      <c r="H191" s="174"/>
      <c r="I191" s="174"/>
      <c r="J191" s="174"/>
      <c r="K191" s="174"/>
      <c r="L191" s="174"/>
      <c r="M191" s="175"/>
    </row>
    <row r="192" spans="2:13" hidden="1" x14ac:dyDescent="0.25">
      <c r="B192" s="44" t="s">
        <v>39</v>
      </c>
      <c r="C192" s="45" t="s">
        <v>40</v>
      </c>
      <c r="D192" s="45" t="s">
        <v>41</v>
      </c>
      <c r="E192" s="31" t="s">
        <v>42</v>
      </c>
      <c r="F192" s="32" t="s">
        <v>43</v>
      </c>
      <c r="G192" s="32" t="s">
        <v>46</v>
      </c>
      <c r="H192" s="33" t="s">
        <v>47</v>
      </c>
      <c r="I192" s="33" t="s">
        <v>48</v>
      </c>
      <c r="J192" s="33" t="s">
        <v>49</v>
      </c>
      <c r="K192" s="33" t="s">
        <v>50</v>
      </c>
      <c r="L192" s="33" t="s">
        <v>51</v>
      </c>
      <c r="M192" s="34" t="s">
        <v>52</v>
      </c>
    </row>
    <row r="193" spans="2:13" hidden="1" x14ac:dyDescent="0.25">
      <c r="B193" s="44" t="str">
        <f>CONCATENATE("17.",Prüfkriterien_111858[[#This Row],[Spalte2]])</f>
        <v>17.1</v>
      </c>
      <c r="C193" s="45">
        <f>ROW()-ROW(Prüfkriterien_111858[[#Headers],[Spalte3]])</f>
        <v>1</v>
      </c>
      <c r="D193" s="45">
        <f>(Prüfkriterien_111858[Spalte2]+170)/10</f>
        <v>17.100000000000001</v>
      </c>
      <c r="E193" s="31"/>
      <c r="F193" s="32"/>
      <c r="G193" s="32"/>
      <c r="H193" s="70"/>
      <c r="I193" s="70"/>
      <c r="J193" s="70"/>
      <c r="K193" s="70"/>
      <c r="L193" s="70"/>
      <c r="M193" s="49"/>
    </row>
    <row r="194" spans="2:13" hidden="1" x14ac:dyDescent="0.25">
      <c r="B194" s="56" t="str">
        <f>CONCATENATE("17.",Prüfkriterien_111858[[#This Row],[Spalte2]])</f>
        <v>17.2</v>
      </c>
      <c r="C194" s="57">
        <f>ROW()-ROW(Prüfkriterien_111858[[#Headers],[Spalte3]])</f>
        <v>2</v>
      </c>
      <c r="D194" s="57">
        <f>(Prüfkriterien_111858[Spalte2]+170)/10</f>
        <v>17.2</v>
      </c>
      <c r="E194" s="58"/>
      <c r="F194" s="59"/>
      <c r="G194" s="59"/>
      <c r="H194" s="70"/>
      <c r="I194" s="70"/>
      <c r="J194" s="70"/>
      <c r="K194" s="70"/>
      <c r="L194" s="70"/>
      <c r="M194" s="87"/>
    </row>
    <row r="195" spans="2:13" hidden="1" x14ac:dyDescent="0.25">
      <c r="B195" s="44" t="str">
        <f>CONCATENATE("17.",Prüfkriterien_111858[[#This Row],[Spalte2]])</f>
        <v>17.3</v>
      </c>
      <c r="C195" s="45">
        <f>ROW()-ROW(Prüfkriterien_111858[[#Headers],[Spalte3]])</f>
        <v>3</v>
      </c>
      <c r="D195" s="45">
        <f>(Prüfkriterien_111858[Spalte2]+170)/10</f>
        <v>17.3</v>
      </c>
      <c r="E195" s="31"/>
      <c r="F195" s="32"/>
      <c r="G195" s="32"/>
      <c r="H195" s="70"/>
      <c r="I195" s="70"/>
      <c r="J195" s="70"/>
      <c r="K195" s="70"/>
      <c r="L195" s="70"/>
      <c r="M195" s="49"/>
    </row>
    <row r="196" spans="2:13" hidden="1" x14ac:dyDescent="0.25">
      <c r="B196" s="44" t="str">
        <f>CONCATENATE("17.",Prüfkriterien_111858[[#This Row],[Spalte2]])</f>
        <v>17.4</v>
      </c>
      <c r="C196" s="45">
        <f>ROW()-ROW(Prüfkriterien_111858[[#Headers],[Spalte3]])</f>
        <v>4</v>
      </c>
      <c r="D196" s="45">
        <f>(Prüfkriterien_111858[Spalte2]+170)/10</f>
        <v>17.399999999999999</v>
      </c>
      <c r="E196" s="31"/>
      <c r="F196" s="32"/>
      <c r="G196" s="32"/>
      <c r="H196" s="70"/>
      <c r="I196" s="70"/>
      <c r="J196" s="70"/>
      <c r="K196" s="70"/>
      <c r="L196" s="70"/>
      <c r="M196" s="49"/>
    </row>
    <row r="197" spans="2:13" hidden="1" x14ac:dyDescent="0.25">
      <c r="B197" s="56" t="str">
        <f>CONCATENATE("17.",Prüfkriterien_111858[[#This Row],[Spalte2]])</f>
        <v>17.5</v>
      </c>
      <c r="C197" s="57">
        <f>ROW()-ROW(Prüfkriterien_111858[[#Headers],[Spalte3]])</f>
        <v>5</v>
      </c>
      <c r="D197" s="57">
        <f>(Prüfkriterien_111858[Spalte2]+170)/10</f>
        <v>17.5</v>
      </c>
      <c r="E197" s="58"/>
      <c r="F197" s="59"/>
      <c r="G197" s="59"/>
      <c r="H197" s="70"/>
      <c r="I197" s="70"/>
      <c r="J197" s="70"/>
      <c r="K197" s="70"/>
      <c r="L197" s="70"/>
      <c r="M197" s="87"/>
    </row>
    <row r="198" spans="2:13" hidden="1" x14ac:dyDescent="0.25">
      <c r="B198" s="173" t="s">
        <v>94</v>
      </c>
      <c r="C198" s="174"/>
      <c r="D198" s="174"/>
      <c r="E198" s="174"/>
      <c r="F198" s="174"/>
      <c r="G198" s="174"/>
      <c r="H198" s="174"/>
      <c r="I198" s="174"/>
      <c r="J198" s="174"/>
      <c r="K198" s="174"/>
      <c r="L198" s="174"/>
      <c r="M198" s="175"/>
    </row>
    <row r="199" spans="2:13" hidden="1" x14ac:dyDescent="0.25">
      <c r="B199" s="44" t="s">
        <v>39</v>
      </c>
      <c r="C199" s="45" t="s">
        <v>40</v>
      </c>
      <c r="D199" s="45" t="s">
        <v>41</v>
      </c>
      <c r="E199" s="31" t="s">
        <v>42</v>
      </c>
      <c r="F199" s="32" t="s">
        <v>43</v>
      </c>
      <c r="G199" s="32" t="s">
        <v>46</v>
      </c>
      <c r="H199" s="33" t="s">
        <v>47</v>
      </c>
      <c r="I199" s="33" t="s">
        <v>48</v>
      </c>
      <c r="J199" s="33" t="s">
        <v>49</v>
      </c>
      <c r="K199" s="33" t="s">
        <v>50</v>
      </c>
      <c r="L199" s="33" t="s">
        <v>51</v>
      </c>
      <c r="M199" s="34" t="s">
        <v>52</v>
      </c>
    </row>
    <row r="200" spans="2:13" hidden="1" x14ac:dyDescent="0.25">
      <c r="B200" s="44" t="str">
        <f>CONCATENATE("18.",Prüfkriterien_111959[[#This Row],[Spalte2]])</f>
        <v>18.1</v>
      </c>
      <c r="C200" s="45">
        <f>ROW()-ROW(Prüfkriterien_111959[[#Headers],[Spalte3]])</f>
        <v>1</v>
      </c>
      <c r="D200" s="45">
        <f>(Prüfkriterien_111959[Spalte2]+180)/10</f>
        <v>18.100000000000001</v>
      </c>
      <c r="E200" s="31"/>
      <c r="F200" s="32"/>
      <c r="G200" s="32"/>
      <c r="H200" s="70"/>
      <c r="I200" s="70"/>
      <c r="J200" s="70"/>
      <c r="K200" s="70"/>
      <c r="L200" s="70"/>
      <c r="M200" s="49"/>
    </row>
    <row r="201" spans="2:13" hidden="1" x14ac:dyDescent="0.25">
      <c r="B201" s="56" t="str">
        <f>CONCATENATE("18.",Prüfkriterien_111959[[#This Row],[Spalte2]])</f>
        <v>18.2</v>
      </c>
      <c r="C201" s="57">
        <f>ROW()-ROW(Prüfkriterien_111959[[#Headers],[Spalte3]])</f>
        <v>2</v>
      </c>
      <c r="D201" s="57">
        <f>(Prüfkriterien_111959[Spalte2]+180)/10</f>
        <v>18.2</v>
      </c>
      <c r="E201" s="58"/>
      <c r="F201" s="59"/>
      <c r="G201" s="59"/>
      <c r="H201" s="70"/>
      <c r="I201" s="70"/>
      <c r="J201" s="70"/>
      <c r="K201" s="70"/>
      <c r="L201" s="70"/>
      <c r="M201" s="87"/>
    </row>
    <row r="202" spans="2:13" hidden="1" x14ac:dyDescent="0.25">
      <c r="B202" s="44" t="str">
        <f>CONCATENATE("18.",Prüfkriterien_111959[[#This Row],[Spalte2]])</f>
        <v>18.3</v>
      </c>
      <c r="C202" s="45">
        <f>ROW()-ROW(Prüfkriterien_111959[[#Headers],[Spalte3]])</f>
        <v>3</v>
      </c>
      <c r="D202" s="45">
        <f>(Prüfkriterien_111959[Spalte2]+180)/10</f>
        <v>18.3</v>
      </c>
      <c r="E202" s="31"/>
      <c r="F202" s="32"/>
      <c r="G202" s="32"/>
      <c r="H202" s="70"/>
      <c r="I202" s="70"/>
      <c r="J202" s="70"/>
      <c r="K202" s="70"/>
      <c r="L202" s="70"/>
      <c r="M202" s="49"/>
    </row>
    <row r="203" spans="2:13" hidden="1" x14ac:dyDescent="0.25">
      <c r="B203" s="44" t="str">
        <f>CONCATENATE("18.",Prüfkriterien_111959[[#This Row],[Spalte2]])</f>
        <v>18.4</v>
      </c>
      <c r="C203" s="45">
        <f>ROW()-ROW(Prüfkriterien_111959[[#Headers],[Spalte3]])</f>
        <v>4</v>
      </c>
      <c r="D203" s="45">
        <f>(Prüfkriterien_111959[Spalte2]+180)/10</f>
        <v>18.399999999999999</v>
      </c>
      <c r="E203" s="31"/>
      <c r="F203" s="32"/>
      <c r="G203" s="32"/>
      <c r="H203" s="70"/>
      <c r="I203" s="70"/>
      <c r="J203" s="70"/>
      <c r="K203" s="70"/>
      <c r="L203" s="70"/>
      <c r="M203" s="49"/>
    </row>
    <row r="204" spans="2:13" hidden="1" x14ac:dyDescent="0.25">
      <c r="B204" s="56" t="str">
        <f>CONCATENATE("18.",Prüfkriterien_111959[[#This Row],[Spalte2]])</f>
        <v>18.5</v>
      </c>
      <c r="C204" s="57">
        <f>ROW()-ROW(Prüfkriterien_111959[[#Headers],[Spalte3]])</f>
        <v>5</v>
      </c>
      <c r="D204" s="57">
        <f>(Prüfkriterien_111959[Spalte2]+180)/10</f>
        <v>18.5</v>
      </c>
      <c r="E204" s="58"/>
      <c r="F204" s="59"/>
      <c r="G204" s="59"/>
      <c r="H204" s="70"/>
      <c r="I204" s="70"/>
      <c r="J204" s="70"/>
      <c r="K204" s="70"/>
      <c r="L204" s="70"/>
      <c r="M204" s="87"/>
    </row>
    <row r="205" spans="2:13" hidden="1" x14ac:dyDescent="0.25">
      <c r="B205" s="173" t="s">
        <v>95</v>
      </c>
      <c r="C205" s="174"/>
      <c r="D205" s="174"/>
      <c r="E205" s="174"/>
      <c r="F205" s="174"/>
      <c r="G205" s="174"/>
      <c r="H205" s="174"/>
      <c r="I205" s="174"/>
      <c r="J205" s="174"/>
      <c r="K205" s="174"/>
      <c r="L205" s="174"/>
      <c r="M205" s="175"/>
    </row>
    <row r="206" spans="2:13" hidden="1" x14ac:dyDescent="0.25">
      <c r="B206" s="44" t="s">
        <v>39</v>
      </c>
      <c r="C206" s="45" t="s">
        <v>40</v>
      </c>
      <c r="D206" s="45" t="s">
        <v>41</v>
      </c>
      <c r="E206" s="31" t="s">
        <v>42</v>
      </c>
      <c r="F206" s="32" t="s">
        <v>43</v>
      </c>
      <c r="G206" s="32" t="s">
        <v>46</v>
      </c>
      <c r="H206" s="33" t="s">
        <v>47</v>
      </c>
      <c r="I206" s="33" t="s">
        <v>48</v>
      </c>
      <c r="J206" s="33" t="s">
        <v>49</v>
      </c>
      <c r="K206" s="33" t="s">
        <v>50</v>
      </c>
      <c r="L206" s="33" t="s">
        <v>51</v>
      </c>
      <c r="M206" s="34" t="s">
        <v>52</v>
      </c>
    </row>
    <row r="207" spans="2:13" hidden="1" x14ac:dyDescent="0.25">
      <c r="B207" s="44" t="str">
        <f>CONCATENATE("19.",Prüfkriterien_112060[[#This Row],[Spalte2]])</f>
        <v>19.1</v>
      </c>
      <c r="C207" s="45">
        <f>ROW()-ROW(Prüfkriterien_112060[[#Headers],[Spalte3]])</f>
        <v>1</v>
      </c>
      <c r="D207" s="45">
        <f>(Prüfkriterien_112060[Spalte2]+190)/10</f>
        <v>19.100000000000001</v>
      </c>
      <c r="E207" s="31"/>
      <c r="F207" s="32"/>
      <c r="G207" s="32"/>
      <c r="H207" s="70"/>
      <c r="I207" s="70"/>
      <c r="J207" s="70"/>
      <c r="K207" s="70"/>
      <c r="L207" s="70"/>
      <c r="M207" s="49"/>
    </row>
    <row r="208" spans="2:13" hidden="1" x14ac:dyDescent="0.25">
      <c r="B208" s="56" t="str">
        <f>CONCATENATE("19.",Prüfkriterien_112060[[#This Row],[Spalte2]])</f>
        <v>19.2</v>
      </c>
      <c r="C208" s="57">
        <f>ROW()-ROW(Prüfkriterien_112060[[#Headers],[Spalte3]])</f>
        <v>2</v>
      </c>
      <c r="D208" s="57">
        <f>(Prüfkriterien_112060[Spalte2]+190)/10</f>
        <v>19.2</v>
      </c>
      <c r="E208" s="58"/>
      <c r="F208" s="59"/>
      <c r="G208" s="59"/>
      <c r="H208" s="70"/>
      <c r="I208" s="70"/>
      <c r="J208" s="70"/>
      <c r="K208" s="70"/>
      <c r="L208" s="70"/>
      <c r="M208" s="87"/>
    </row>
    <row r="209" spans="2:13" hidden="1" x14ac:dyDescent="0.25">
      <c r="B209" s="44" t="str">
        <f>CONCATENATE("19.",Prüfkriterien_112060[[#This Row],[Spalte2]])</f>
        <v>19.3</v>
      </c>
      <c r="C209" s="45">
        <f>ROW()-ROW(Prüfkriterien_112060[[#Headers],[Spalte3]])</f>
        <v>3</v>
      </c>
      <c r="D209" s="45">
        <f>(Prüfkriterien_112060[Spalte2]+190)/10</f>
        <v>19.3</v>
      </c>
      <c r="E209" s="31"/>
      <c r="F209" s="32"/>
      <c r="G209" s="32"/>
      <c r="H209" s="70"/>
      <c r="I209" s="70"/>
      <c r="J209" s="70"/>
      <c r="K209" s="70"/>
      <c r="L209" s="70"/>
      <c r="M209" s="49"/>
    </row>
    <row r="210" spans="2:13" hidden="1" x14ac:dyDescent="0.25">
      <c r="B210" s="44" t="str">
        <f>CONCATENATE("19.",Prüfkriterien_112060[[#This Row],[Spalte2]])</f>
        <v>19.4</v>
      </c>
      <c r="C210" s="45">
        <f>ROW()-ROW(Prüfkriterien_112060[[#Headers],[Spalte3]])</f>
        <v>4</v>
      </c>
      <c r="D210" s="45">
        <f>(Prüfkriterien_112060[Spalte2]+190)/10</f>
        <v>19.399999999999999</v>
      </c>
      <c r="E210" s="31"/>
      <c r="F210" s="32"/>
      <c r="G210" s="32"/>
      <c r="H210" s="70"/>
      <c r="I210" s="70"/>
      <c r="J210" s="70"/>
      <c r="K210" s="70"/>
      <c r="L210" s="70"/>
      <c r="M210" s="49"/>
    </row>
    <row r="211" spans="2:13" hidden="1" x14ac:dyDescent="0.25">
      <c r="B211" s="56" t="str">
        <f>CONCATENATE("19.",Prüfkriterien_112060[[#This Row],[Spalte2]])</f>
        <v>19.5</v>
      </c>
      <c r="C211" s="57">
        <f>ROW()-ROW(Prüfkriterien_112060[[#Headers],[Spalte3]])</f>
        <v>5</v>
      </c>
      <c r="D211" s="57">
        <f>(Prüfkriterien_112060[Spalte2]+190)/10</f>
        <v>19.5</v>
      </c>
      <c r="E211" s="58"/>
      <c r="F211" s="59"/>
      <c r="G211" s="59"/>
      <c r="H211" s="70"/>
      <c r="I211" s="70"/>
      <c r="J211" s="70"/>
      <c r="K211" s="70"/>
      <c r="L211" s="70"/>
      <c r="M211" s="87"/>
    </row>
    <row r="212" spans="2:13" hidden="1" x14ac:dyDescent="0.25">
      <c r="B212" s="173" t="s">
        <v>96</v>
      </c>
      <c r="C212" s="174"/>
      <c r="D212" s="174"/>
      <c r="E212" s="174"/>
      <c r="F212" s="174"/>
      <c r="G212" s="174"/>
      <c r="H212" s="174"/>
      <c r="I212" s="174"/>
      <c r="J212" s="174"/>
      <c r="K212" s="174"/>
      <c r="L212" s="174"/>
      <c r="M212" s="175"/>
    </row>
    <row r="213" spans="2:13" hidden="1" x14ac:dyDescent="0.25">
      <c r="B213" s="44" t="s">
        <v>39</v>
      </c>
      <c r="C213" s="45" t="s">
        <v>40</v>
      </c>
      <c r="D213" s="45" t="s">
        <v>41</v>
      </c>
      <c r="E213" s="31" t="s">
        <v>42</v>
      </c>
      <c r="F213" s="32" t="s">
        <v>43</v>
      </c>
      <c r="G213" s="32" t="s">
        <v>46</v>
      </c>
      <c r="H213" s="33" t="s">
        <v>47</v>
      </c>
      <c r="I213" s="33" t="s">
        <v>48</v>
      </c>
      <c r="J213" s="33" t="s">
        <v>49</v>
      </c>
      <c r="K213" s="33" t="s">
        <v>50</v>
      </c>
      <c r="L213" s="33" t="s">
        <v>51</v>
      </c>
      <c r="M213" s="34" t="s">
        <v>52</v>
      </c>
    </row>
    <row r="214" spans="2:13" hidden="1" x14ac:dyDescent="0.25">
      <c r="B214" s="44" t="str">
        <f>CONCATENATE("20.",Prüfkriterien_112161[[#This Row],[Spalte2]])</f>
        <v>20.1</v>
      </c>
      <c r="C214" s="45">
        <f>ROW()-ROW(Prüfkriterien_112161[[#Headers],[Spalte3]])</f>
        <v>1</v>
      </c>
      <c r="D214" s="45">
        <f>(Prüfkriterien_112161[Spalte2]+200)/10</f>
        <v>20.100000000000001</v>
      </c>
      <c r="E214" s="31"/>
      <c r="F214" s="32"/>
      <c r="G214" s="32"/>
      <c r="H214" s="70"/>
      <c r="I214" s="70"/>
      <c r="J214" s="70"/>
      <c r="K214" s="70"/>
      <c r="L214" s="70"/>
      <c r="M214" s="49"/>
    </row>
    <row r="215" spans="2:13" hidden="1" x14ac:dyDescent="0.25">
      <c r="B215" s="56" t="str">
        <f>CONCATENATE("20.",Prüfkriterien_112161[[#This Row],[Spalte2]])</f>
        <v>20.2</v>
      </c>
      <c r="C215" s="57">
        <f>ROW()-ROW(Prüfkriterien_112161[[#Headers],[Spalte3]])</f>
        <v>2</v>
      </c>
      <c r="D215" s="57">
        <f>(Prüfkriterien_112161[Spalte2]+200)/10</f>
        <v>20.2</v>
      </c>
      <c r="E215" s="58"/>
      <c r="F215" s="59"/>
      <c r="G215" s="59"/>
      <c r="H215" s="70"/>
      <c r="I215" s="70"/>
      <c r="J215" s="70"/>
      <c r="K215" s="70"/>
      <c r="L215" s="70"/>
      <c r="M215" s="87"/>
    </row>
    <row r="216" spans="2:13" hidden="1" x14ac:dyDescent="0.25">
      <c r="B216" s="44" t="str">
        <f>CONCATENATE("20.",Prüfkriterien_112161[[#This Row],[Spalte2]])</f>
        <v>20.3</v>
      </c>
      <c r="C216" s="45">
        <f>ROW()-ROW(Prüfkriterien_112161[[#Headers],[Spalte3]])</f>
        <v>3</v>
      </c>
      <c r="D216" s="45">
        <f>(Prüfkriterien_112161[Spalte2]+200)/10</f>
        <v>20.3</v>
      </c>
      <c r="E216" s="31"/>
      <c r="F216" s="32"/>
      <c r="G216" s="32"/>
      <c r="H216" s="70"/>
      <c r="I216" s="70"/>
      <c r="J216" s="70"/>
      <c r="K216" s="70"/>
      <c r="L216" s="70"/>
      <c r="M216" s="49"/>
    </row>
    <row r="217" spans="2:13" hidden="1" x14ac:dyDescent="0.25">
      <c r="B217" s="44" t="str">
        <f>CONCATENATE("20.",Prüfkriterien_112161[[#This Row],[Spalte2]])</f>
        <v>20.4</v>
      </c>
      <c r="C217" s="45">
        <f>ROW()-ROW(Prüfkriterien_112161[[#Headers],[Spalte3]])</f>
        <v>4</v>
      </c>
      <c r="D217" s="45">
        <f>(Prüfkriterien_112161[Spalte2]+200)/10</f>
        <v>20.399999999999999</v>
      </c>
      <c r="E217" s="31"/>
      <c r="F217" s="32"/>
      <c r="G217" s="32"/>
      <c r="H217" s="70"/>
      <c r="I217" s="70"/>
      <c r="J217" s="70"/>
      <c r="K217" s="70"/>
      <c r="L217" s="70"/>
      <c r="M217" s="49"/>
    </row>
    <row r="218" spans="2:13" hidden="1" x14ac:dyDescent="0.25">
      <c r="B218" s="56" t="str">
        <f>CONCATENATE("20.",Prüfkriterien_112161[[#This Row],[Spalte2]])</f>
        <v>20.5</v>
      </c>
      <c r="C218" s="57">
        <f>ROW()-ROW(Prüfkriterien_112161[[#Headers],[Spalte3]])</f>
        <v>5</v>
      </c>
      <c r="D218" s="57">
        <f>(Prüfkriterien_112161[Spalte2]+200)/10</f>
        <v>20.5</v>
      </c>
      <c r="E218" s="58"/>
      <c r="F218" s="59"/>
      <c r="G218" s="59"/>
      <c r="H218" s="70"/>
      <c r="I218" s="70"/>
      <c r="J218" s="70"/>
      <c r="K218" s="70"/>
      <c r="L218" s="70"/>
      <c r="M218" s="87"/>
    </row>
  </sheetData>
  <sheetProtection formatCells="0" formatRows="0" insertRows="0" deleteRows="0"/>
  <mergeCells count="32">
    <mergeCell ref="B191:M191"/>
    <mergeCell ref="B198:M198"/>
    <mergeCell ref="B205:M205"/>
    <mergeCell ref="B212:M212"/>
    <mergeCell ref="B149:M149"/>
    <mergeCell ref="B156:M156"/>
    <mergeCell ref="B163:M163"/>
    <mergeCell ref="B170:M170"/>
    <mergeCell ref="B177:M177"/>
    <mergeCell ref="B184:M184"/>
    <mergeCell ref="B142:M142"/>
    <mergeCell ref="H6:L6"/>
    <mergeCell ref="M6:M7"/>
    <mergeCell ref="B8:M8"/>
    <mergeCell ref="B18:M18"/>
    <mergeCell ref="B31:M31"/>
    <mergeCell ref="B44:M44"/>
    <mergeCell ref="B79:M79"/>
    <mergeCell ref="B114:M114"/>
    <mergeCell ref="B121:M121"/>
    <mergeCell ref="B128:M128"/>
    <mergeCell ref="B135:M135"/>
    <mergeCell ref="B2:M2"/>
    <mergeCell ref="B3:M3"/>
    <mergeCell ref="C4:K4"/>
    <mergeCell ref="B5:M5"/>
    <mergeCell ref="B6:B7"/>
    <mergeCell ref="C6:C7"/>
    <mergeCell ref="D6:D7"/>
    <mergeCell ref="E6:E7"/>
    <mergeCell ref="F6:F7"/>
    <mergeCell ref="G6:G7"/>
  </mergeCells>
  <dataValidations count="2">
    <dataValidation type="list" allowBlank="1" showInputMessage="1" showErrorMessage="1" sqref="M4">
      <formula1>_Datum</formula1>
    </dataValidation>
    <dataValidation type="list" allowBlank="1" showInputMessage="1" showErrorMessage="1" sqref="C4:K4">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
Version 2024&amp;C&amp;G&amp;R
&amp;"Arial,Standard"&amp;8&amp;P von &amp;N</oddFooter>
  </headerFooter>
  <ignoredErrors>
    <ignoredError sqref="H10" listDataValidation="1"/>
    <ignoredError sqref="B120 B123:B127 B130:B134 B137:B141 B144:B148 B151:B155 B158:B162 B165:B169 B172:B176 B179:B183 B186:B190 B193:B197 B200:B204 B207:B211 B214:B218" unlockedFormula="1"/>
  </ignoredErrors>
  <legacyDrawingHF r:id="rId2"/>
  <tableParts count="20">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s>
  <extLst>
    <ext xmlns:x14="http://schemas.microsoft.com/office/spreadsheetml/2009/9/main" uri="{78C0D931-6437-407d-A8EE-F0AAD7539E65}">
      <x14:conditionalFormattings>
        <x14:conditionalFormatting xmlns:xm="http://schemas.microsoft.com/office/excel/2006/main">
          <x14:cfRule type="containsText" priority="36" operator="containsText" id="{986A69BC-93BA-4B21-8400-BA1A4336F8B2}">
            <xm:f>NOT(ISERROR(SEARCH("grau",H19)))</xm:f>
            <xm:f>"grau"</xm:f>
            <x14:dxf>
              <font>
                <color rgb="FF808080"/>
              </font>
              <fill>
                <patternFill>
                  <bgColor rgb="FF808080"/>
                </patternFill>
              </fill>
            </x14:dxf>
          </x14:cfRule>
          <xm:sqref>H80:L108 H32:L38 H19:L19 H45:L72</xm:sqref>
        </x14:conditionalFormatting>
        <x14:conditionalFormatting xmlns:xm="http://schemas.microsoft.com/office/excel/2006/main">
          <x14:cfRule type="containsText" priority="35" operator="containsText" id="{12543E67-7E9A-4594-80EE-C1D48EA12137}">
            <xm:f>NOT(ISERROR(SEARCH("grau",H10)))</xm:f>
            <xm:f>"grau"</xm:f>
            <x14:dxf>
              <font>
                <strike val="0"/>
                <color rgb="FF808080"/>
              </font>
              <fill>
                <patternFill>
                  <bgColor rgb="FF808080"/>
                </patternFill>
              </fill>
            </x14:dxf>
          </x14:cfRule>
          <xm:sqref>H10:L17</xm:sqref>
        </x14:conditionalFormatting>
        <x14:conditionalFormatting xmlns:xm="http://schemas.microsoft.com/office/excel/2006/main">
          <x14:cfRule type="containsText" priority="34" operator="containsText" id="{7265ABF6-95C1-457D-80E7-E5E3560B21C1}">
            <xm:f>NOT(ISERROR(SEARCH("grau",H115)))</xm:f>
            <xm:f>"grau"</xm:f>
            <x14:dxf>
              <font>
                <color rgb="FF808080"/>
              </font>
              <fill>
                <patternFill>
                  <bgColor rgb="FF808080"/>
                </patternFill>
              </fill>
            </x14:dxf>
          </x14:cfRule>
          <xm:sqref>H115:L115</xm:sqref>
        </x14:conditionalFormatting>
        <x14:conditionalFormatting xmlns:xm="http://schemas.microsoft.com/office/excel/2006/main">
          <x14:cfRule type="containsText" priority="33" operator="containsText" id="{994760C9-9BD2-45AC-9449-A891AE5E8885}">
            <xm:f>NOT(ISERROR(SEARCH("grau",H122)))</xm:f>
            <xm:f>"grau"</xm:f>
            <x14:dxf>
              <font>
                <color rgb="FF808080"/>
              </font>
              <fill>
                <patternFill>
                  <bgColor rgb="FF808080"/>
                </patternFill>
              </fill>
            </x14:dxf>
          </x14:cfRule>
          <xm:sqref>H122:L122</xm:sqref>
        </x14:conditionalFormatting>
        <x14:conditionalFormatting xmlns:xm="http://schemas.microsoft.com/office/excel/2006/main">
          <x14:cfRule type="containsText" priority="32" operator="containsText" id="{0B6ACD6B-1B8C-48B5-9ACF-0BFFB7F297EA}">
            <xm:f>NOT(ISERROR(SEARCH("grau",H129)))</xm:f>
            <xm:f>"grau"</xm:f>
            <x14:dxf>
              <font>
                <color rgb="FF808080"/>
              </font>
              <fill>
                <patternFill>
                  <bgColor rgb="FF808080"/>
                </patternFill>
              </fill>
            </x14:dxf>
          </x14:cfRule>
          <xm:sqref>H129:L129</xm:sqref>
        </x14:conditionalFormatting>
        <x14:conditionalFormatting xmlns:xm="http://schemas.microsoft.com/office/excel/2006/main">
          <x14:cfRule type="containsText" priority="31" operator="containsText" id="{2009129A-71EC-4D32-948A-C5ADE499E763}">
            <xm:f>NOT(ISERROR(SEARCH("grau",H136)))</xm:f>
            <xm:f>"grau"</xm:f>
            <x14:dxf>
              <font>
                <color rgb="FF808080"/>
              </font>
              <fill>
                <patternFill>
                  <bgColor rgb="FF808080"/>
                </patternFill>
              </fill>
            </x14:dxf>
          </x14:cfRule>
          <xm:sqref>H136:L136</xm:sqref>
        </x14:conditionalFormatting>
        <x14:conditionalFormatting xmlns:xm="http://schemas.microsoft.com/office/excel/2006/main">
          <x14:cfRule type="containsText" priority="30" operator="containsText" id="{5EB2B498-EDF2-4BDE-907A-6737FD2EA543}">
            <xm:f>NOT(ISERROR(SEARCH("grau",H143)))</xm:f>
            <xm:f>"grau"</xm:f>
            <x14:dxf>
              <font>
                <color rgb="FF808080"/>
              </font>
              <fill>
                <patternFill>
                  <bgColor rgb="FF808080"/>
                </patternFill>
              </fill>
            </x14:dxf>
          </x14:cfRule>
          <xm:sqref>H143:L143</xm:sqref>
        </x14:conditionalFormatting>
        <x14:conditionalFormatting xmlns:xm="http://schemas.microsoft.com/office/excel/2006/main">
          <x14:cfRule type="containsText" priority="29" operator="containsText" id="{CD7F5FCE-7A7B-47C1-87E9-75371A4BC1B0}">
            <xm:f>NOT(ISERROR(SEARCH("grau",H150)))</xm:f>
            <xm:f>"grau"</xm:f>
            <x14:dxf>
              <font>
                <color rgb="FF808080"/>
              </font>
              <fill>
                <patternFill>
                  <bgColor rgb="FF808080"/>
                </patternFill>
              </fill>
            </x14:dxf>
          </x14:cfRule>
          <xm:sqref>H150:L150</xm:sqref>
        </x14:conditionalFormatting>
        <x14:conditionalFormatting xmlns:xm="http://schemas.microsoft.com/office/excel/2006/main">
          <x14:cfRule type="containsText" priority="28" operator="containsText" id="{5481C6DE-CA69-454D-A0C3-D3FB4147D303}">
            <xm:f>NOT(ISERROR(SEARCH("grau",H20)))</xm:f>
            <xm:f>"grau"</xm:f>
            <x14:dxf>
              <font>
                <strike val="0"/>
                <color rgb="FF808080"/>
              </font>
              <fill>
                <patternFill>
                  <bgColor rgb="FF808080"/>
                </patternFill>
              </fill>
            </x14:dxf>
          </x14:cfRule>
          <xm:sqref>H20:L30</xm:sqref>
        </x14:conditionalFormatting>
        <x14:conditionalFormatting xmlns:xm="http://schemas.microsoft.com/office/excel/2006/main">
          <x14:cfRule type="containsText" priority="27" operator="containsText" id="{99B24A5C-92A4-4EDE-9AC1-0507ADF42FFA}">
            <xm:f>NOT(ISERROR(SEARCH("grau",H33)))</xm:f>
            <xm:f>"grau"</xm:f>
            <x14:dxf>
              <font>
                <strike val="0"/>
                <color rgb="FF808080"/>
              </font>
              <fill>
                <patternFill>
                  <bgColor rgb="FF808080"/>
                </patternFill>
              </fill>
            </x14:dxf>
          </x14:cfRule>
          <xm:sqref>H33:L43</xm:sqref>
        </x14:conditionalFormatting>
        <x14:conditionalFormatting xmlns:xm="http://schemas.microsoft.com/office/excel/2006/main">
          <x14:cfRule type="containsText" priority="26" operator="containsText" id="{0A0D5FC5-840D-4ED6-AF8D-2D6C8BF4AF46}">
            <xm:f>NOT(ISERROR(SEARCH("grau",H46)))</xm:f>
            <xm:f>"grau"</xm:f>
            <x14:dxf>
              <font>
                <strike val="0"/>
                <color rgb="FF808080"/>
              </font>
              <fill>
                <patternFill>
                  <bgColor rgb="FF808080"/>
                </patternFill>
              </fill>
            </x14:dxf>
          </x14:cfRule>
          <xm:sqref>H46:L78</xm:sqref>
        </x14:conditionalFormatting>
        <x14:conditionalFormatting xmlns:xm="http://schemas.microsoft.com/office/excel/2006/main">
          <x14:cfRule type="containsText" priority="25" operator="containsText" id="{DF02F2D6-27A3-414C-8F99-1074E0C79C1F}">
            <xm:f>NOT(ISERROR(SEARCH("grau",H81)))</xm:f>
            <xm:f>"grau"</xm:f>
            <x14:dxf>
              <font>
                <strike val="0"/>
                <color rgb="FF808080"/>
              </font>
              <fill>
                <patternFill>
                  <bgColor rgb="FF808080"/>
                </patternFill>
              </fill>
            </x14:dxf>
          </x14:cfRule>
          <xm:sqref>H81:L113</xm:sqref>
        </x14:conditionalFormatting>
        <x14:conditionalFormatting xmlns:xm="http://schemas.microsoft.com/office/excel/2006/main">
          <x14:cfRule type="containsText" priority="24" operator="containsText" id="{73FC0E6F-DF03-43DF-AAAB-6B9F9FF5315F}">
            <xm:f>NOT(ISERROR(SEARCH("grau",H116)))</xm:f>
            <xm:f>"grau"</xm:f>
            <x14:dxf>
              <font>
                <strike val="0"/>
                <color rgb="FF808080"/>
              </font>
              <fill>
                <patternFill>
                  <bgColor rgb="FF808080"/>
                </patternFill>
              </fill>
            </x14:dxf>
          </x14:cfRule>
          <xm:sqref>H116:L120</xm:sqref>
        </x14:conditionalFormatting>
        <x14:conditionalFormatting xmlns:xm="http://schemas.microsoft.com/office/excel/2006/main">
          <x14:cfRule type="containsText" priority="23" operator="containsText" id="{9FEF26D1-0ABD-42AE-A657-7DFB14217001}">
            <xm:f>NOT(ISERROR(SEARCH("grau",H123)))</xm:f>
            <xm:f>"grau"</xm:f>
            <x14:dxf>
              <font>
                <strike val="0"/>
                <color rgb="FF808080"/>
              </font>
              <fill>
                <patternFill>
                  <bgColor rgb="FF808080"/>
                </patternFill>
              </fill>
            </x14:dxf>
          </x14:cfRule>
          <xm:sqref>H123:L127</xm:sqref>
        </x14:conditionalFormatting>
        <x14:conditionalFormatting xmlns:xm="http://schemas.microsoft.com/office/excel/2006/main">
          <x14:cfRule type="containsText" priority="22" operator="containsText" id="{9564327F-9DE0-4E1A-929E-8B4B3CE5A5BF}">
            <xm:f>NOT(ISERROR(SEARCH("grau",H130)))</xm:f>
            <xm:f>"grau"</xm:f>
            <x14:dxf>
              <font>
                <strike val="0"/>
                <color rgb="FF808080"/>
              </font>
              <fill>
                <patternFill>
                  <bgColor rgb="FF808080"/>
                </patternFill>
              </fill>
            </x14:dxf>
          </x14:cfRule>
          <xm:sqref>H130:L134</xm:sqref>
        </x14:conditionalFormatting>
        <x14:conditionalFormatting xmlns:xm="http://schemas.microsoft.com/office/excel/2006/main">
          <x14:cfRule type="containsText" priority="21" operator="containsText" id="{DBA93648-5307-4484-A965-857238DDDEAA}">
            <xm:f>NOT(ISERROR(SEARCH("grau",H137)))</xm:f>
            <xm:f>"grau"</xm:f>
            <x14:dxf>
              <font>
                <strike val="0"/>
                <color rgb="FF808080"/>
              </font>
              <fill>
                <patternFill>
                  <bgColor rgb="FF808080"/>
                </patternFill>
              </fill>
            </x14:dxf>
          </x14:cfRule>
          <xm:sqref>H137:L141</xm:sqref>
        </x14:conditionalFormatting>
        <x14:conditionalFormatting xmlns:xm="http://schemas.microsoft.com/office/excel/2006/main">
          <x14:cfRule type="containsText" priority="20" operator="containsText" id="{35AD127A-B23A-4B33-909B-FECCCCA7DE4C}">
            <xm:f>NOT(ISERROR(SEARCH("grau",H144)))</xm:f>
            <xm:f>"grau"</xm:f>
            <x14:dxf>
              <font>
                <strike val="0"/>
                <color rgb="FF808080"/>
              </font>
              <fill>
                <patternFill>
                  <bgColor rgb="FF808080"/>
                </patternFill>
              </fill>
            </x14:dxf>
          </x14:cfRule>
          <xm:sqref>H144:L148</xm:sqref>
        </x14:conditionalFormatting>
        <x14:conditionalFormatting xmlns:xm="http://schemas.microsoft.com/office/excel/2006/main">
          <x14:cfRule type="containsText" priority="19" operator="containsText" id="{DB8588C9-D190-4E56-A2F3-1F3C9634C1A9}">
            <xm:f>NOT(ISERROR(SEARCH("grau",H151)))</xm:f>
            <xm:f>"grau"</xm:f>
            <x14:dxf>
              <font>
                <strike val="0"/>
                <color rgb="FF808080"/>
              </font>
              <fill>
                <patternFill>
                  <bgColor rgb="FF808080"/>
                </patternFill>
              </fill>
            </x14:dxf>
          </x14:cfRule>
          <xm:sqref>H151:L155</xm:sqref>
        </x14:conditionalFormatting>
        <x14:conditionalFormatting xmlns:xm="http://schemas.microsoft.com/office/excel/2006/main">
          <x14:cfRule type="containsText" priority="18" operator="containsText" id="{420F203B-AF5E-459A-A47E-252D8499F357}">
            <xm:f>NOT(ISERROR(SEARCH("grau",H157)))</xm:f>
            <xm:f>"grau"</xm:f>
            <x14:dxf>
              <font>
                <color rgb="FF808080"/>
              </font>
              <fill>
                <patternFill>
                  <bgColor rgb="FF808080"/>
                </patternFill>
              </fill>
            </x14:dxf>
          </x14:cfRule>
          <xm:sqref>H157:L157</xm:sqref>
        </x14:conditionalFormatting>
        <x14:conditionalFormatting xmlns:xm="http://schemas.microsoft.com/office/excel/2006/main">
          <x14:cfRule type="containsText" priority="17" operator="containsText" id="{B9178420-92C2-49BE-BA51-97F31E232905}">
            <xm:f>NOT(ISERROR(SEARCH("grau",H158)))</xm:f>
            <xm:f>"grau"</xm:f>
            <x14:dxf>
              <font>
                <strike val="0"/>
                <color rgb="FF808080"/>
              </font>
              <fill>
                <patternFill>
                  <bgColor rgb="FF808080"/>
                </patternFill>
              </fill>
            </x14:dxf>
          </x14:cfRule>
          <xm:sqref>H158:L162</xm:sqref>
        </x14:conditionalFormatting>
        <x14:conditionalFormatting xmlns:xm="http://schemas.microsoft.com/office/excel/2006/main">
          <x14:cfRule type="containsText" priority="16" operator="containsText" id="{2D1C2C27-A379-4732-9348-4E2CE908D678}">
            <xm:f>NOT(ISERROR(SEARCH("grau",H164)))</xm:f>
            <xm:f>"grau"</xm:f>
            <x14:dxf>
              <font>
                <color rgb="FF808080"/>
              </font>
              <fill>
                <patternFill>
                  <bgColor rgb="FF808080"/>
                </patternFill>
              </fill>
            </x14:dxf>
          </x14:cfRule>
          <xm:sqref>H164:L164</xm:sqref>
        </x14:conditionalFormatting>
        <x14:conditionalFormatting xmlns:xm="http://schemas.microsoft.com/office/excel/2006/main">
          <x14:cfRule type="containsText" priority="15" operator="containsText" id="{36EE6B36-5DE2-4B58-8F8C-DC1C25EF687E}">
            <xm:f>NOT(ISERROR(SEARCH("grau",H165)))</xm:f>
            <xm:f>"grau"</xm:f>
            <x14:dxf>
              <font>
                <strike val="0"/>
                <color rgb="FF808080"/>
              </font>
              <fill>
                <patternFill>
                  <bgColor rgb="FF808080"/>
                </patternFill>
              </fill>
            </x14:dxf>
          </x14:cfRule>
          <xm:sqref>H165:L169</xm:sqref>
        </x14:conditionalFormatting>
        <x14:conditionalFormatting xmlns:xm="http://schemas.microsoft.com/office/excel/2006/main">
          <x14:cfRule type="containsText" priority="14" operator="containsText" id="{FFDCAFF3-BAE4-407B-89B1-71B898458573}">
            <xm:f>NOT(ISERROR(SEARCH("grau",H171)))</xm:f>
            <xm:f>"grau"</xm:f>
            <x14:dxf>
              <font>
                <color rgb="FF808080"/>
              </font>
              <fill>
                <patternFill>
                  <bgColor rgb="FF808080"/>
                </patternFill>
              </fill>
            </x14:dxf>
          </x14:cfRule>
          <xm:sqref>H171:L171</xm:sqref>
        </x14:conditionalFormatting>
        <x14:conditionalFormatting xmlns:xm="http://schemas.microsoft.com/office/excel/2006/main">
          <x14:cfRule type="containsText" priority="13" operator="containsText" id="{1C916E1D-61FC-4AE7-B14C-CBEE13C13AA0}">
            <xm:f>NOT(ISERROR(SEARCH("grau",H172)))</xm:f>
            <xm:f>"grau"</xm:f>
            <x14:dxf>
              <font>
                <strike val="0"/>
                <color rgb="FF808080"/>
              </font>
              <fill>
                <patternFill>
                  <bgColor rgb="FF808080"/>
                </patternFill>
              </fill>
            </x14:dxf>
          </x14:cfRule>
          <xm:sqref>H172:L176</xm:sqref>
        </x14:conditionalFormatting>
        <x14:conditionalFormatting xmlns:xm="http://schemas.microsoft.com/office/excel/2006/main">
          <x14:cfRule type="containsText" priority="12" operator="containsText" id="{ADF5188D-5379-461C-B486-3892C6153794}">
            <xm:f>NOT(ISERROR(SEARCH("grau",H178)))</xm:f>
            <xm:f>"grau"</xm:f>
            <x14:dxf>
              <font>
                <color rgb="FF808080"/>
              </font>
              <fill>
                <patternFill>
                  <bgColor rgb="FF808080"/>
                </patternFill>
              </fill>
            </x14:dxf>
          </x14:cfRule>
          <xm:sqref>H178:L178</xm:sqref>
        </x14:conditionalFormatting>
        <x14:conditionalFormatting xmlns:xm="http://schemas.microsoft.com/office/excel/2006/main">
          <x14:cfRule type="containsText" priority="11" operator="containsText" id="{92645332-B0BB-4B06-AEDC-C04B0319AD73}">
            <xm:f>NOT(ISERROR(SEARCH("grau",H179)))</xm:f>
            <xm:f>"grau"</xm:f>
            <x14:dxf>
              <font>
                <strike val="0"/>
                <color rgb="FF808080"/>
              </font>
              <fill>
                <patternFill>
                  <bgColor rgb="FF808080"/>
                </patternFill>
              </fill>
            </x14:dxf>
          </x14:cfRule>
          <xm:sqref>H179:L183</xm:sqref>
        </x14:conditionalFormatting>
        <x14:conditionalFormatting xmlns:xm="http://schemas.microsoft.com/office/excel/2006/main">
          <x14:cfRule type="containsText" priority="10" operator="containsText" id="{9369D11F-8E2C-4D40-8E70-95C87ECC1FDB}">
            <xm:f>NOT(ISERROR(SEARCH("grau",H185)))</xm:f>
            <xm:f>"grau"</xm:f>
            <x14:dxf>
              <font>
                <color rgb="FF808080"/>
              </font>
              <fill>
                <patternFill>
                  <bgColor rgb="FF808080"/>
                </patternFill>
              </fill>
            </x14:dxf>
          </x14:cfRule>
          <xm:sqref>H185:L185</xm:sqref>
        </x14:conditionalFormatting>
        <x14:conditionalFormatting xmlns:xm="http://schemas.microsoft.com/office/excel/2006/main">
          <x14:cfRule type="containsText" priority="9" operator="containsText" id="{B54B0F4A-E279-4A13-BA51-B6BA6B364EB2}">
            <xm:f>NOT(ISERROR(SEARCH("grau",H186)))</xm:f>
            <xm:f>"grau"</xm:f>
            <x14:dxf>
              <font>
                <strike val="0"/>
                <color rgb="FF808080"/>
              </font>
              <fill>
                <patternFill>
                  <bgColor rgb="FF808080"/>
                </patternFill>
              </fill>
            </x14:dxf>
          </x14:cfRule>
          <xm:sqref>H186:L190</xm:sqref>
        </x14:conditionalFormatting>
        <x14:conditionalFormatting xmlns:xm="http://schemas.microsoft.com/office/excel/2006/main">
          <x14:cfRule type="containsText" priority="8" operator="containsText" id="{F4BD58FB-8672-4EB7-B07D-A7D541BB363B}">
            <xm:f>NOT(ISERROR(SEARCH("grau",H192)))</xm:f>
            <xm:f>"grau"</xm:f>
            <x14:dxf>
              <font>
                <color rgb="FF808080"/>
              </font>
              <fill>
                <patternFill>
                  <bgColor rgb="FF808080"/>
                </patternFill>
              </fill>
            </x14:dxf>
          </x14:cfRule>
          <xm:sqref>H192:L192</xm:sqref>
        </x14:conditionalFormatting>
        <x14:conditionalFormatting xmlns:xm="http://schemas.microsoft.com/office/excel/2006/main">
          <x14:cfRule type="containsText" priority="7" operator="containsText" id="{F06EA791-FF8F-4450-AA9F-345A98B20FC2}">
            <xm:f>NOT(ISERROR(SEARCH("grau",H193)))</xm:f>
            <xm:f>"grau"</xm:f>
            <x14:dxf>
              <font>
                <strike val="0"/>
                <color rgb="FF808080"/>
              </font>
              <fill>
                <patternFill>
                  <bgColor rgb="FF808080"/>
                </patternFill>
              </fill>
            </x14:dxf>
          </x14:cfRule>
          <xm:sqref>H193:L197</xm:sqref>
        </x14:conditionalFormatting>
        <x14:conditionalFormatting xmlns:xm="http://schemas.microsoft.com/office/excel/2006/main">
          <x14:cfRule type="containsText" priority="6" operator="containsText" id="{A1876589-0DC9-41B8-B21D-2BAC193B7EB1}">
            <xm:f>NOT(ISERROR(SEARCH("grau",H199)))</xm:f>
            <xm:f>"grau"</xm:f>
            <x14:dxf>
              <font>
                <color rgb="FF808080"/>
              </font>
              <fill>
                <patternFill>
                  <bgColor rgb="FF808080"/>
                </patternFill>
              </fill>
            </x14:dxf>
          </x14:cfRule>
          <xm:sqref>H199:L199</xm:sqref>
        </x14:conditionalFormatting>
        <x14:conditionalFormatting xmlns:xm="http://schemas.microsoft.com/office/excel/2006/main">
          <x14:cfRule type="containsText" priority="5" operator="containsText" id="{0B5C8C87-327C-4D1A-843B-C6E738A0EA27}">
            <xm:f>NOT(ISERROR(SEARCH("grau",H200)))</xm:f>
            <xm:f>"grau"</xm:f>
            <x14:dxf>
              <font>
                <strike val="0"/>
                <color rgb="FF808080"/>
              </font>
              <fill>
                <patternFill>
                  <bgColor rgb="FF808080"/>
                </patternFill>
              </fill>
            </x14:dxf>
          </x14:cfRule>
          <xm:sqref>H200:L204</xm:sqref>
        </x14:conditionalFormatting>
        <x14:conditionalFormatting xmlns:xm="http://schemas.microsoft.com/office/excel/2006/main">
          <x14:cfRule type="containsText" priority="4" operator="containsText" id="{B8BB40E8-B82C-42AC-9360-836DB7A284A7}">
            <xm:f>NOT(ISERROR(SEARCH("grau",H206)))</xm:f>
            <xm:f>"grau"</xm:f>
            <x14:dxf>
              <font>
                <color rgb="FF808080"/>
              </font>
              <fill>
                <patternFill>
                  <bgColor rgb="FF808080"/>
                </patternFill>
              </fill>
            </x14:dxf>
          </x14:cfRule>
          <xm:sqref>H206:L206</xm:sqref>
        </x14:conditionalFormatting>
        <x14:conditionalFormatting xmlns:xm="http://schemas.microsoft.com/office/excel/2006/main">
          <x14:cfRule type="containsText" priority="3" operator="containsText" id="{E3FBB087-12CF-41CB-A16B-DA5396159E3E}">
            <xm:f>NOT(ISERROR(SEARCH("grau",H207)))</xm:f>
            <xm:f>"grau"</xm:f>
            <x14:dxf>
              <font>
                <strike val="0"/>
                <color rgb="FF808080"/>
              </font>
              <fill>
                <patternFill>
                  <bgColor rgb="FF808080"/>
                </patternFill>
              </fill>
            </x14:dxf>
          </x14:cfRule>
          <xm:sqref>H207:L211</xm:sqref>
        </x14:conditionalFormatting>
        <x14:conditionalFormatting xmlns:xm="http://schemas.microsoft.com/office/excel/2006/main">
          <x14:cfRule type="containsText" priority="2" operator="containsText" id="{98A18E26-F880-4511-AFEA-AA501F64DBCA}">
            <xm:f>NOT(ISERROR(SEARCH("grau",H213)))</xm:f>
            <xm:f>"grau"</xm:f>
            <x14:dxf>
              <font>
                <color rgb="FF808080"/>
              </font>
              <fill>
                <patternFill>
                  <bgColor rgb="FF808080"/>
                </patternFill>
              </fill>
            </x14:dxf>
          </x14:cfRule>
          <xm:sqref>H213:L213</xm:sqref>
        </x14:conditionalFormatting>
        <x14:conditionalFormatting xmlns:xm="http://schemas.microsoft.com/office/excel/2006/main">
          <x14:cfRule type="containsText" priority="1" operator="containsText" id="{A270FAA6-97CC-4CBD-A2CF-FE6506F13C54}">
            <xm:f>NOT(ISERROR(SEARCH("grau",H214)))</xm:f>
            <xm:f>"grau"</xm:f>
            <x14:dxf>
              <font>
                <strike val="0"/>
                <color rgb="FF808080"/>
              </font>
              <fill>
                <patternFill>
                  <bgColor rgb="FF808080"/>
                </patternFill>
              </fill>
            </x14:dxf>
          </x14:cfRule>
          <xm:sqref>H214:L218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Einstellungen!$C$9:$C$11</xm:f>
          </x14:formula1>
          <xm:sqref>H143:L148 H19:L30 H32:L43 H45:L78 H80:L113 H115:L120 H122:L127 H129:L134 H136:L141 H150:L155 H157:L162 H164:L169 H171:L176 H178:L183 H185:L190 H192:L197 H199:L204 H206:L211 H213:L218 H9:L17</xm:sqref>
        </x14:dataValidation>
        <x14:dataValidation type="list" allowBlank="1" showInputMessage="1" showErrorMessage="1">
          <x14:formula1>
            <xm:f>Einstellungen!$C$10:$C$11</xm:f>
          </x14:formula1>
          <xm:sqref>I80:J108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0000"/>
  </sheetPr>
  <dimension ref="B1:E14"/>
  <sheetViews>
    <sheetView zoomScaleNormal="100" workbookViewId="0">
      <selection activeCell="F11" sqref="F11"/>
    </sheetView>
  </sheetViews>
  <sheetFormatPr baseColWidth="10" defaultColWidth="11.5546875" defaultRowHeight="13.8" x14ac:dyDescent="0.25"/>
  <cols>
    <col min="1" max="1" width="1.109375" style="6" customWidth="1"/>
    <col min="2" max="2" width="29.33203125" style="6" customWidth="1"/>
    <col min="3" max="3" width="53.33203125" style="7" customWidth="1"/>
    <col min="4" max="4" width="1.109375" style="6" customWidth="1"/>
    <col min="5" max="16384" width="11.5546875" style="6"/>
  </cols>
  <sheetData>
    <row r="1" spans="2:5" ht="6" customHeight="1" x14ac:dyDescent="0.25"/>
    <row r="2" spans="2:5" x14ac:dyDescent="0.25">
      <c r="B2" s="197" t="s">
        <v>74</v>
      </c>
      <c r="C2" s="197"/>
    </row>
    <row r="3" spans="2:5" ht="7.95" customHeight="1" x14ac:dyDescent="0.25">
      <c r="B3" s="8"/>
      <c r="C3" s="8"/>
    </row>
    <row r="4" spans="2:5" ht="55.95" customHeight="1" x14ac:dyDescent="0.25">
      <c r="B4" s="198" t="s">
        <v>38</v>
      </c>
      <c r="C4" s="198"/>
    </row>
    <row r="5" spans="2:5" ht="7.95" customHeight="1" x14ac:dyDescent="0.25">
      <c r="B5" s="9"/>
      <c r="C5" s="9"/>
    </row>
    <row r="6" spans="2:5" s="10" customFormat="1" ht="25.95" customHeight="1" x14ac:dyDescent="0.3">
      <c r="B6" s="75" t="s">
        <v>53</v>
      </c>
      <c r="C6" s="54" t="s">
        <v>77</v>
      </c>
    </row>
    <row r="7" spans="2:5" s="10" customFormat="1" ht="25.95" customHeight="1" x14ac:dyDescent="0.3">
      <c r="B7" s="75" t="s">
        <v>75</v>
      </c>
      <c r="C7" s="54" t="s">
        <v>78</v>
      </c>
    </row>
    <row r="8" spans="2:5" s="10" customFormat="1" ht="25.95" customHeight="1" x14ac:dyDescent="0.3">
      <c r="B8" s="74" t="s">
        <v>73</v>
      </c>
      <c r="C8" s="55" t="s">
        <v>280</v>
      </c>
    </row>
    <row r="9" spans="2:5" s="10" customFormat="1" ht="25.95" customHeight="1" x14ac:dyDescent="0.3">
      <c r="B9" s="61" t="s">
        <v>54</v>
      </c>
      <c r="C9" s="12" t="s">
        <v>14</v>
      </c>
    </row>
    <row r="10" spans="2:5" s="10" customFormat="1" ht="25.95" customHeight="1" x14ac:dyDescent="0.3">
      <c r="B10" s="11"/>
      <c r="C10" s="85"/>
      <c r="E10" s="76" t="s">
        <v>76</v>
      </c>
    </row>
    <row r="11" spans="2:5" s="10" customFormat="1" ht="25.95" customHeight="1" x14ac:dyDescent="0.3">
      <c r="B11" s="11"/>
      <c r="C11" s="84" t="s">
        <v>36</v>
      </c>
    </row>
    <row r="12" spans="2:5" s="10" customFormat="1" ht="25.95" customHeight="1" x14ac:dyDescent="0.3">
      <c r="B12" s="61" t="s">
        <v>55</v>
      </c>
      <c r="C12" s="78" t="s">
        <v>26</v>
      </c>
    </row>
    <row r="13" spans="2:5" s="10" customFormat="1" ht="25.95" customHeight="1" x14ac:dyDescent="0.3">
      <c r="B13" s="11"/>
      <c r="C13" s="78" t="s">
        <v>27</v>
      </c>
    </row>
    <row r="14" spans="2:5" s="10" customFormat="1" ht="25.95" customHeight="1" x14ac:dyDescent="0.3">
      <c r="B14" s="11"/>
      <c r="C14" s="78" t="s">
        <v>28</v>
      </c>
    </row>
  </sheetData>
  <sheetProtection password="AA96" sheet="1" objects="1" scenarios="1"/>
  <dataConsolidate/>
  <mergeCells count="2">
    <mergeCell ref="B2:C2"/>
    <mergeCell ref="B4:C4"/>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17</vt:i4>
      </vt:variant>
    </vt:vector>
  </HeadingPairs>
  <TitlesOfParts>
    <vt:vector size="22" baseType="lpstr">
      <vt:lpstr>Angaben zum Audit</vt:lpstr>
      <vt:lpstr>Maßnahmenplan</vt:lpstr>
      <vt:lpstr>Checkliste</vt:lpstr>
      <vt:lpstr>Erweiterung</vt:lpstr>
      <vt:lpstr>Einstellungen</vt:lpstr>
      <vt:lpstr>_Betriebsname</vt:lpstr>
      <vt:lpstr>_Betriesname</vt:lpstr>
      <vt:lpstr>_chbx</vt:lpstr>
      <vt:lpstr>_Datum</vt:lpstr>
      <vt:lpstr>_grau</vt:lpstr>
      <vt:lpstr>_KO</vt:lpstr>
      <vt:lpstr>_lAbw</vt:lpstr>
      <vt:lpstr>_RLV</vt:lpstr>
      <vt:lpstr>_sAbw</vt:lpstr>
      <vt:lpstr>Checkliste!Drucktitel</vt:lpstr>
      <vt:lpstr>Erweiterung!Drucktitel</vt:lpstr>
      <vt:lpstr>'Angaben zum Audit'!Print_Area</vt:lpstr>
      <vt:lpstr>Checkliste!Print_Area</vt:lpstr>
      <vt:lpstr>Erweiterung!Print_Area</vt:lpstr>
      <vt:lpstr>Maßnahmenplan!Print_Area</vt:lpstr>
      <vt:lpstr>Checkliste!Print_Titles</vt:lpstr>
      <vt:lpstr>Erweiterung!Print_Titles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Vorlage_1_6_Neutral</dc:title>
  <dc:creator/>
  <cp:lastModifiedBy/>
  <dcterms:created xsi:type="dcterms:W3CDTF">2006-09-16T00:00:00Z</dcterms:created>
  <dcterms:modified xsi:type="dcterms:W3CDTF">2024-01-08T08:24:41Z</dcterms:modified>
</cp:coreProperties>
</file>