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bookViews>
    <workbookView xWindow="240" yWindow="108" windowWidth="14808" windowHeight="8016"/>
  </bookViews>
  <sheets>
    <sheet name="Angaben zum Audit" sheetId="1" r:id="rId1"/>
    <sheet name="Maßnahmenplan" sheetId="2" r:id="rId2"/>
    <sheet name="Checkliste" sheetId="7" r:id="rId3"/>
    <sheet name="Erweiterung" sheetId="9" r:id="rId4"/>
    <sheet name="Einstellungen" sheetId="4" r:id="rId5"/>
  </sheets>
  <definedNames>
    <definedName name="_AZeit" localSheetId="3">Einstellungen!#REF!</definedName>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 localSheetId="3">Einstellungen!#REF!</definedName>
    <definedName name="_Dauer">Einstellungen!#REF!</definedName>
    <definedName name="_EZeit" localSheetId="3">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 localSheetId="3">Einstellungen!#REF!</definedName>
    <definedName name="_Version">Einstellungen!#REF!</definedName>
    <definedName name="_xlnm.Print_Titles" localSheetId="2">Checkliste!$1:$7</definedName>
    <definedName name="_xlnm.Print_Titles" localSheetId="3">Erweiterung!$1:$7</definedName>
    <definedName name="Print_Area" localSheetId="0">'Angaben zum Audit'!$A$1:$M$33</definedName>
    <definedName name="Print_Area" localSheetId="2">Checkliste!$A$1:$N$118</definedName>
    <definedName name="Print_Area" localSheetId="3">Erweiterung!$A$1:$N$156</definedName>
    <definedName name="Print_Area" localSheetId="1">Maßnahmenplan!$A$1:$J$24</definedName>
    <definedName name="Print_Titles" localSheetId="2">Checkliste!$1:$7</definedName>
    <definedName name="Print_Titles" localSheetId="3">Erweiterung!$1:$7</definedName>
  </definedNames>
  <calcPr calcId="162913"/>
</workbook>
</file>

<file path=xl/calcChain.xml><?xml version="1.0" encoding="utf-8"?>
<calcChain xmlns="http://schemas.openxmlformats.org/spreadsheetml/2006/main">
  <c r="B119" i="9" l="1"/>
  <c r="B118" i="9"/>
  <c r="B117" i="9"/>
  <c r="B116"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3" i="9"/>
  <c r="B42" i="9"/>
  <c r="B41" i="9"/>
  <c r="B40" i="9"/>
  <c r="B39" i="9"/>
  <c r="B38" i="9"/>
  <c r="B37" i="9"/>
  <c r="B36" i="9"/>
  <c r="B35" i="9"/>
  <c r="B34" i="9"/>
  <c r="B33" i="9"/>
  <c r="B30" i="9"/>
  <c r="B29" i="9"/>
  <c r="B28" i="9"/>
  <c r="B27" i="9"/>
  <c r="B26" i="9"/>
  <c r="B25" i="9"/>
  <c r="B24" i="9"/>
  <c r="B23" i="9"/>
  <c r="B22" i="9"/>
  <c r="B21" i="9"/>
  <c r="B20" i="9"/>
  <c r="B17" i="9"/>
  <c r="B16" i="9"/>
  <c r="B15" i="9"/>
  <c r="B14" i="9"/>
  <c r="B13" i="9"/>
  <c r="B12" i="9"/>
  <c r="B11" i="9"/>
  <c r="B10" i="9"/>
  <c r="C88" i="9" l="1"/>
  <c r="D88" i="9"/>
  <c r="C89" i="9"/>
  <c r="D89" i="9" l="1"/>
  <c r="C53" i="9" l="1"/>
  <c r="D53" i="9"/>
  <c r="C54" i="9"/>
  <c r="C36" i="9"/>
  <c r="C23" i="9"/>
  <c r="D36" i="9" l="1"/>
  <c r="D54" i="9"/>
  <c r="D23" i="9"/>
  <c r="C55" i="7" l="1"/>
  <c r="B55" i="7" s="1"/>
  <c r="C54" i="7"/>
  <c r="B54" i="7" s="1"/>
  <c r="D55" i="7" l="1"/>
  <c r="D54" i="7"/>
  <c r="C18" i="7" l="1"/>
  <c r="B18" i="7" s="1"/>
  <c r="D18" i="7" l="1"/>
  <c r="C24" i="7"/>
  <c r="B24" i="7" s="1"/>
  <c r="D24" i="7" l="1"/>
  <c r="C15" i="9"/>
  <c r="D15" i="9" l="1"/>
  <c r="C81" i="9"/>
  <c r="C82" i="9"/>
  <c r="C83" i="9"/>
  <c r="D83" i="9" s="1"/>
  <c r="C84" i="9"/>
  <c r="D84" i="9" s="1"/>
  <c r="C85" i="9"/>
  <c r="D85" i="9" s="1"/>
  <c r="C86" i="9"/>
  <c r="D86" i="9" s="1"/>
  <c r="C87" i="9"/>
  <c r="D87" i="9" s="1"/>
  <c r="C90" i="9"/>
  <c r="D90" i="9" s="1"/>
  <c r="C91" i="9"/>
  <c r="C92" i="9"/>
  <c r="C93" i="9"/>
  <c r="D93" i="9" s="1"/>
  <c r="D81" i="9"/>
  <c r="C94" i="9"/>
  <c r="C95" i="9"/>
  <c r="C96" i="9"/>
  <c r="C97" i="9"/>
  <c r="C98" i="9"/>
  <c r="C99" i="9"/>
  <c r="D99" i="9" s="1"/>
  <c r="C100" i="9"/>
  <c r="D100" i="9" s="1"/>
  <c r="C101" i="9"/>
  <c r="C102" i="9"/>
  <c r="D102" i="9" s="1"/>
  <c r="C103" i="9"/>
  <c r="D94" i="9"/>
  <c r="C104" i="9"/>
  <c r="C105" i="9"/>
  <c r="C106" i="9"/>
  <c r="C107" i="9"/>
  <c r="D107" i="9" s="1"/>
  <c r="C108" i="9"/>
  <c r="D108" i="9" s="1"/>
  <c r="C76" i="9"/>
  <c r="C46" i="9"/>
  <c r="C47" i="9"/>
  <c r="C48" i="9"/>
  <c r="C49" i="9"/>
  <c r="C50" i="9"/>
  <c r="D50" i="9" s="1"/>
  <c r="C51" i="9"/>
  <c r="D51" i="9" s="1"/>
  <c r="C52" i="9"/>
  <c r="D52" i="9" s="1"/>
  <c r="C55" i="9"/>
  <c r="D55" i="9" s="1"/>
  <c r="C56" i="9"/>
  <c r="C57" i="9"/>
  <c r="D48" i="9"/>
  <c r="C58" i="9"/>
  <c r="C59" i="9"/>
  <c r="C60" i="9"/>
  <c r="C61" i="9"/>
  <c r="C62" i="9"/>
  <c r="D62" i="9" s="1"/>
  <c r="C63" i="9"/>
  <c r="D63" i="9" s="1"/>
  <c r="C64" i="9"/>
  <c r="C65" i="9"/>
  <c r="D65" i="9" s="1"/>
  <c r="C66" i="9"/>
  <c r="C67" i="9"/>
  <c r="C68" i="9"/>
  <c r="C69" i="9"/>
  <c r="C70" i="9"/>
  <c r="D70" i="9" s="1"/>
  <c r="C71" i="9"/>
  <c r="C72" i="9"/>
  <c r="C33" i="9"/>
  <c r="C34" i="9"/>
  <c r="C35" i="9"/>
  <c r="D35" i="9" s="1"/>
  <c r="C37" i="9"/>
  <c r="D37" i="9" s="1"/>
  <c r="C38" i="9"/>
  <c r="C22" i="9"/>
  <c r="C24" i="9"/>
  <c r="C21" i="9"/>
  <c r="C25" i="9"/>
  <c r="C26" i="9"/>
  <c r="D26" i="9" s="1"/>
  <c r="C12" i="9"/>
  <c r="C13" i="9"/>
  <c r="D98" i="9" l="1"/>
  <c r="D92" i="9"/>
  <c r="D61" i="9"/>
  <c r="D91" i="9"/>
  <c r="D101" i="9"/>
  <c r="D82" i="9"/>
  <c r="D97" i="9"/>
  <c r="D49" i="9"/>
  <c r="D59" i="9"/>
  <c r="D96" i="9"/>
  <c r="D103" i="9"/>
  <c r="D95" i="9"/>
  <c r="D106" i="9"/>
  <c r="D105" i="9"/>
  <c r="D104" i="9"/>
  <c r="D67" i="9"/>
  <c r="D60" i="9"/>
  <c r="D57" i="9"/>
  <c r="D66" i="9"/>
  <c r="D56" i="9"/>
  <c r="D76" i="9"/>
  <c r="D64" i="9"/>
  <c r="D58" i="9"/>
  <c r="D47" i="9"/>
  <c r="D46" i="9"/>
  <c r="D71" i="9"/>
  <c r="D72" i="9"/>
  <c r="D38" i="9"/>
  <c r="D69" i="9"/>
  <c r="D68" i="9"/>
  <c r="D34" i="9"/>
  <c r="D33" i="9"/>
  <c r="D22" i="9"/>
  <c r="D13" i="9"/>
  <c r="D24" i="9"/>
  <c r="D21" i="9"/>
  <c r="D25" i="9"/>
  <c r="D12" i="9"/>
  <c r="C48" i="7" l="1"/>
  <c r="B48" i="7" s="1"/>
  <c r="C49" i="7"/>
  <c r="B49" i="7" s="1"/>
  <c r="C50" i="7"/>
  <c r="B50" i="7" s="1"/>
  <c r="C51" i="7"/>
  <c r="B51" i="7" s="1"/>
  <c r="C52" i="7"/>
  <c r="B52" i="7" s="1"/>
  <c r="C53" i="7"/>
  <c r="B53" i="7" s="1"/>
  <c r="C56" i="7"/>
  <c r="B56" i="7" s="1"/>
  <c r="C57" i="7"/>
  <c r="D57" i="7" s="1"/>
  <c r="C23" i="7"/>
  <c r="B23" i="7" s="1"/>
  <c r="C25" i="7"/>
  <c r="B25" i="7" s="1"/>
  <c r="C26" i="7"/>
  <c r="B26" i="7" s="1"/>
  <c r="C27" i="7"/>
  <c r="B27" i="7" s="1"/>
  <c r="C28" i="7"/>
  <c r="D28" i="7" s="1"/>
  <c r="C29" i="7"/>
  <c r="B29" i="7" s="1"/>
  <c r="C30" i="7"/>
  <c r="D30" i="7" s="1"/>
  <c r="C31" i="7"/>
  <c r="D31" i="7" s="1"/>
  <c r="C32" i="7"/>
  <c r="B32" i="7" s="1"/>
  <c r="D23" i="7"/>
  <c r="C33" i="7"/>
  <c r="B33" i="7" s="1"/>
  <c r="C34" i="7"/>
  <c r="B34" i="7" s="1"/>
  <c r="C35" i="7"/>
  <c r="B35" i="7" s="1"/>
  <c r="C36" i="7"/>
  <c r="D36" i="7" s="1"/>
  <c r="C37" i="7"/>
  <c r="D37" i="7" s="1"/>
  <c r="C38" i="7"/>
  <c r="B38" i="7" s="1"/>
  <c r="C39" i="7"/>
  <c r="B39" i="7" s="1"/>
  <c r="C40" i="7"/>
  <c r="D40" i="7" s="1"/>
  <c r="C15" i="7"/>
  <c r="B15" i="7" s="1"/>
  <c r="C16" i="7"/>
  <c r="B16" i="7" s="1"/>
  <c r="C17" i="7"/>
  <c r="B17" i="7" s="1"/>
  <c r="D26" i="7" l="1"/>
  <c r="D52" i="7"/>
  <c r="D51" i="7"/>
  <c r="D25" i="7"/>
  <c r="D29" i="7"/>
  <c r="D50" i="7"/>
  <c r="D56" i="7"/>
  <c r="D49" i="7"/>
  <c r="B37" i="7"/>
  <c r="D53" i="7"/>
  <c r="D48" i="7"/>
  <c r="D27" i="7"/>
  <c r="B57" i="7"/>
  <c r="D32" i="7"/>
  <c r="B31" i="7"/>
  <c r="B30" i="7"/>
  <c r="B28" i="7"/>
  <c r="D35" i="7"/>
  <c r="B36" i="7"/>
  <c r="D39" i="7"/>
  <c r="D34" i="7"/>
  <c r="D38" i="7"/>
  <c r="D33" i="7"/>
  <c r="B40" i="7"/>
  <c r="D15" i="7"/>
  <c r="D16" i="7"/>
  <c r="D17" i="7"/>
  <c r="C218" i="9" l="1"/>
  <c r="D218" i="9" s="1"/>
  <c r="C217" i="9"/>
  <c r="D217" i="9" s="1"/>
  <c r="C216" i="9"/>
  <c r="B216" i="9" s="1"/>
  <c r="C215" i="9"/>
  <c r="D215" i="9" s="1"/>
  <c r="C214" i="9"/>
  <c r="D214" i="9" s="1"/>
  <c r="C211" i="9"/>
  <c r="B211" i="9" s="1"/>
  <c r="C210" i="9"/>
  <c r="D210" i="9" s="1"/>
  <c r="C209" i="9"/>
  <c r="D209" i="9" s="1"/>
  <c r="C208" i="9"/>
  <c r="B208" i="9" s="1"/>
  <c r="C207" i="9"/>
  <c r="D207" i="9" s="1"/>
  <c r="C204" i="9"/>
  <c r="B204" i="9" s="1"/>
  <c r="C203" i="9"/>
  <c r="D203" i="9" s="1"/>
  <c r="C202" i="9"/>
  <c r="D202" i="9" s="1"/>
  <c r="C201" i="9"/>
  <c r="B201" i="9" s="1"/>
  <c r="C200" i="9"/>
  <c r="D200" i="9" s="1"/>
  <c r="C197" i="9"/>
  <c r="D197" i="9" s="1"/>
  <c r="C196" i="9"/>
  <c r="D196" i="9" s="1"/>
  <c r="C195" i="9"/>
  <c r="D195" i="9" s="1"/>
  <c r="C194" i="9"/>
  <c r="B194" i="9" s="1"/>
  <c r="C193" i="9"/>
  <c r="D193" i="9" s="1"/>
  <c r="C190" i="9"/>
  <c r="D190" i="9" s="1"/>
  <c r="C189" i="9"/>
  <c r="B189" i="9" s="1"/>
  <c r="C188" i="9"/>
  <c r="B188" i="9" s="1"/>
  <c r="C187" i="9"/>
  <c r="D187" i="9" s="1"/>
  <c r="C186" i="9"/>
  <c r="B186" i="9" s="1"/>
  <c r="C183" i="9"/>
  <c r="D183" i="9" s="1"/>
  <c r="C182" i="9"/>
  <c r="B182" i="9" s="1"/>
  <c r="C181" i="9"/>
  <c r="D181" i="9" s="1"/>
  <c r="C180" i="9"/>
  <c r="D180" i="9" s="1"/>
  <c r="C179" i="9"/>
  <c r="B179" i="9" s="1"/>
  <c r="C176" i="9"/>
  <c r="B176" i="9" s="1"/>
  <c r="C175" i="9"/>
  <c r="D175" i="9" s="1"/>
  <c r="C174" i="9"/>
  <c r="D174" i="9" s="1"/>
  <c r="C173" i="9"/>
  <c r="D173" i="9" s="1"/>
  <c r="C172" i="9"/>
  <c r="B172" i="9" s="1"/>
  <c r="C169" i="9"/>
  <c r="D169" i="9" s="1"/>
  <c r="C168" i="9"/>
  <c r="D168" i="9" s="1"/>
  <c r="C167" i="9"/>
  <c r="B167" i="9" s="1"/>
  <c r="C166" i="9"/>
  <c r="D166" i="9" s="1"/>
  <c r="C165" i="9"/>
  <c r="D165" i="9" s="1"/>
  <c r="C162" i="9"/>
  <c r="D162" i="9" s="1"/>
  <c r="C161" i="9"/>
  <c r="D161" i="9" s="1"/>
  <c r="C160" i="9"/>
  <c r="B160" i="9" s="1"/>
  <c r="C159" i="9"/>
  <c r="D159" i="9" s="1"/>
  <c r="C158" i="9"/>
  <c r="D158" i="9" s="1"/>
  <c r="C155" i="9"/>
  <c r="B155" i="9" s="1"/>
  <c r="C154" i="9"/>
  <c r="D154" i="9" s="1"/>
  <c r="C153" i="9"/>
  <c r="D153" i="9" s="1"/>
  <c r="C152" i="9"/>
  <c r="D152" i="9" s="1"/>
  <c r="C151" i="9"/>
  <c r="D151" i="9" s="1"/>
  <c r="C148" i="9"/>
  <c r="B148" i="9" s="1"/>
  <c r="C147" i="9"/>
  <c r="D147" i="9" s="1"/>
  <c r="C146" i="9"/>
  <c r="D146" i="9" s="1"/>
  <c r="C145" i="9"/>
  <c r="B145" i="9" s="1"/>
  <c r="C144" i="9"/>
  <c r="D144" i="9" s="1"/>
  <c r="C141" i="9"/>
  <c r="D141" i="9" s="1"/>
  <c r="C140" i="9"/>
  <c r="D140" i="9" s="1"/>
  <c r="C139" i="9"/>
  <c r="D139" i="9" s="1"/>
  <c r="C138" i="9"/>
  <c r="B138" i="9" s="1"/>
  <c r="C137" i="9"/>
  <c r="D137" i="9" s="1"/>
  <c r="C134" i="9"/>
  <c r="D134" i="9" s="1"/>
  <c r="C133" i="9"/>
  <c r="B133" i="9" s="1"/>
  <c r="C132" i="9"/>
  <c r="D132" i="9" s="1"/>
  <c r="C131" i="9"/>
  <c r="D131" i="9" s="1"/>
  <c r="C130" i="9"/>
  <c r="B130" i="9" s="1"/>
  <c r="C127" i="9"/>
  <c r="D127" i="9" s="1"/>
  <c r="C126" i="9"/>
  <c r="B126" i="9" s="1"/>
  <c r="C125" i="9"/>
  <c r="D125" i="9" s="1"/>
  <c r="C124" i="9"/>
  <c r="D124" i="9" s="1"/>
  <c r="C123" i="9"/>
  <c r="B123" i="9" s="1"/>
  <c r="C120" i="9"/>
  <c r="D120" i="9" s="1"/>
  <c r="C119" i="9"/>
  <c r="D119" i="9" s="1"/>
  <c r="C118" i="9"/>
  <c r="D118" i="9" s="1"/>
  <c r="C117" i="9"/>
  <c r="D117" i="9" s="1"/>
  <c r="C116" i="9"/>
  <c r="C113" i="9"/>
  <c r="D113" i="9" s="1"/>
  <c r="C112" i="9"/>
  <c r="D112" i="9" s="1"/>
  <c r="C111" i="9"/>
  <c r="C110" i="9"/>
  <c r="D110" i="9" s="1"/>
  <c r="C109" i="9"/>
  <c r="D109" i="9" s="1"/>
  <c r="C78" i="9"/>
  <c r="D78" i="9" s="1"/>
  <c r="C77" i="9"/>
  <c r="D77" i="9" s="1"/>
  <c r="C75" i="9"/>
  <c r="C74" i="9"/>
  <c r="D74" i="9" s="1"/>
  <c r="C73" i="9"/>
  <c r="D73" i="9" s="1"/>
  <c r="C43" i="9"/>
  <c r="C42" i="9"/>
  <c r="D42" i="9" s="1"/>
  <c r="C41" i="9"/>
  <c r="D41" i="9" s="1"/>
  <c r="C40" i="9"/>
  <c r="D40" i="9" s="1"/>
  <c r="C39" i="9"/>
  <c r="D39" i="9" s="1"/>
  <c r="C30" i="9"/>
  <c r="C29" i="9"/>
  <c r="D29" i="9" s="1"/>
  <c r="C28" i="9"/>
  <c r="D28" i="9" s="1"/>
  <c r="C27" i="9"/>
  <c r="C20" i="9"/>
  <c r="D20" i="9" s="1"/>
  <c r="C17" i="9"/>
  <c r="D17" i="9" s="1"/>
  <c r="C16" i="9"/>
  <c r="D16" i="9" s="1"/>
  <c r="C14" i="9"/>
  <c r="C11" i="9"/>
  <c r="D11" i="9" s="1"/>
  <c r="C10" i="9"/>
  <c r="D10" i="9" s="1"/>
  <c r="B2" i="9"/>
  <c r="B144" i="9" l="1"/>
  <c r="B165" i="9"/>
  <c r="B173" i="9"/>
  <c r="D186" i="9"/>
  <c r="B196" i="9"/>
  <c r="D211" i="9"/>
  <c r="B217" i="9"/>
  <c r="B140" i="9"/>
  <c r="B166" i="9"/>
  <c r="B162" i="9"/>
  <c r="B197" i="9"/>
  <c r="B210" i="9"/>
  <c r="B187" i="9"/>
  <c r="B141" i="9"/>
  <c r="B151" i="9"/>
  <c r="B218" i="9"/>
  <c r="B161" i="9"/>
  <c r="B195" i="9"/>
  <c r="B175" i="9"/>
  <c r="D188" i="9"/>
  <c r="B132" i="9"/>
  <c r="B139" i="9"/>
  <c r="B153" i="9"/>
  <c r="D179" i="9"/>
  <c r="D133" i="9"/>
  <c r="D123" i="9"/>
  <c r="D130" i="9"/>
  <c r="D176" i="9"/>
  <c r="D201" i="9"/>
  <c r="D208" i="9"/>
  <c r="D111" i="9"/>
  <c r="B131" i="9"/>
  <c r="B154" i="9"/>
  <c r="B174" i="9"/>
  <c r="D189" i="9"/>
  <c r="B209" i="9"/>
  <c r="D167" i="9"/>
  <c r="B120" i="9"/>
  <c r="B127" i="9"/>
  <c r="B152" i="9"/>
  <c r="D155" i="9"/>
  <c r="B200" i="9"/>
  <c r="B207" i="9"/>
  <c r="D43" i="9"/>
  <c r="D27" i="9"/>
  <c r="D145" i="9"/>
  <c r="B183" i="9"/>
  <c r="D14" i="9"/>
  <c r="D30" i="9"/>
  <c r="D75" i="9"/>
  <c r="D116" i="9"/>
  <c r="B124" i="9"/>
  <c r="D126" i="9"/>
  <c r="B134" i="9"/>
  <c r="D138" i="9"/>
  <c r="B146" i="9"/>
  <c r="D148" i="9"/>
  <c r="B158" i="9"/>
  <c r="D160" i="9"/>
  <c r="B168" i="9"/>
  <c r="D172" i="9"/>
  <c r="B180" i="9"/>
  <c r="D182" i="9"/>
  <c r="B190" i="9"/>
  <c r="D194" i="9"/>
  <c r="B202" i="9"/>
  <c r="D204" i="9"/>
  <c r="B214" i="9"/>
  <c r="D216" i="9"/>
  <c r="B125" i="9"/>
  <c r="B137" i="9"/>
  <c r="B147" i="9"/>
  <c r="B159" i="9"/>
  <c r="B169" i="9"/>
  <c r="B181" i="9"/>
  <c r="B193" i="9"/>
  <c r="B203" i="9"/>
  <c r="B215" i="9"/>
  <c r="C180" i="7" l="1"/>
  <c r="B180" i="7" s="1"/>
  <c r="C179" i="7"/>
  <c r="D179" i="7" s="1"/>
  <c r="C178" i="7"/>
  <c r="B178" i="7" s="1"/>
  <c r="C177" i="7"/>
  <c r="B177" i="7" s="1"/>
  <c r="C176" i="7"/>
  <c r="D176" i="7" s="1"/>
  <c r="C173" i="7"/>
  <c r="D173" i="7" s="1"/>
  <c r="C172" i="7"/>
  <c r="D172" i="7" s="1"/>
  <c r="C171" i="7"/>
  <c r="D171" i="7" s="1"/>
  <c r="C170" i="7"/>
  <c r="D170" i="7" s="1"/>
  <c r="C169" i="7"/>
  <c r="D169" i="7" s="1"/>
  <c r="C166" i="7"/>
  <c r="B166" i="7" s="1"/>
  <c r="C165" i="7"/>
  <c r="B165" i="7" s="1"/>
  <c r="C164" i="7"/>
  <c r="D164" i="7" s="1"/>
  <c r="C163" i="7"/>
  <c r="D163" i="7" s="1"/>
  <c r="C162" i="7"/>
  <c r="D162" i="7" s="1"/>
  <c r="C159" i="7"/>
  <c r="D159" i="7" s="1"/>
  <c r="C158" i="7"/>
  <c r="D158" i="7" s="1"/>
  <c r="C157" i="7"/>
  <c r="B157" i="7" s="1"/>
  <c r="C156" i="7"/>
  <c r="D156" i="7" s="1"/>
  <c r="C155" i="7"/>
  <c r="D155" i="7" s="1"/>
  <c r="C152" i="7"/>
  <c r="D152" i="7" s="1"/>
  <c r="C151" i="7"/>
  <c r="B151" i="7" s="1"/>
  <c r="C150" i="7"/>
  <c r="D150" i="7" s="1"/>
  <c r="C149" i="7"/>
  <c r="B149" i="7" s="1"/>
  <c r="C148" i="7"/>
  <c r="B148" i="7" s="1"/>
  <c r="C145" i="7"/>
  <c r="D145" i="7" s="1"/>
  <c r="C144" i="7"/>
  <c r="D144" i="7" s="1"/>
  <c r="C143" i="7"/>
  <c r="D143" i="7" s="1"/>
  <c r="C142" i="7"/>
  <c r="B142" i="7" s="1"/>
  <c r="C141" i="7"/>
  <c r="B141" i="7" s="1"/>
  <c r="C138" i="7"/>
  <c r="D138" i="7" s="1"/>
  <c r="C137" i="7"/>
  <c r="B137" i="7" s="1"/>
  <c r="C136" i="7"/>
  <c r="B136" i="7" s="1"/>
  <c r="C135" i="7"/>
  <c r="B135" i="7" s="1"/>
  <c r="C134" i="7"/>
  <c r="B134" i="7" s="1"/>
  <c r="C131" i="7"/>
  <c r="D131" i="7" s="1"/>
  <c r="C130" i="7"/>
  <c r="D130" i="7" s="1"/>
  <c r="C129" i="7"/>
  <c r="B129" i="7" s="1"/>
  <c r="C128" i="7"/>
  <c r="D128" i="7" s="1"/>
  <c r="C127" i="7"/>
  <c r="D127" i="7" s="1"/>
  <c r="C124" i="7"/>
  <c r="B124" i="7" s="1"/>
  <c r="C123" i="7"/>
  <c r="D123" i="7" s="1"/>
  <c r="C122" i="7"/>
  <c r="D122" i="7" s="1"/>
  <c r="C121" i="7"/>
  <c r="D121" i="7" s="1"/>
  <c r="C120" i="7"/>
  <c r="B120" i="7" s="1"/>
  <c r="B127" i="7" l="1"/>
  <c r="D129" i="7"/>
  <c r="D142" i="7"/>
  <c r="D149" i="7"/>
  <c r="D148" i="7"/>
  <c r="D157" i="7"/>
  <c r="B164" i="7"/>
  <c r="D137" i="7"/>
  <c r="B123" i="7"/>
  <c r="D135" i="7"/>
  <c r="B156" i="7"/>
  <c r="B121" i="7"/>
  <c r="B145" i="7"/>
  <c r="D166" i="7"/>
  <c r="B122" i="7"/>
  <c r="D120" i="7"/>
  <c r="B152" i="7"/>
  <c r="D165" i="7"/>
  <c r="D124" i="7"/>
  <c r="B128" i="7"/>
  <c r="B131" i="7"/>
  <c r="B130" i="7"/>
  <c r="D136" i="7"/>
  <c r="B138" i="7"/>
  <c r="D134" i="7"/>
  <c r="D141" i="7"/>
  <c r="B144" i="7"/>
  <c r="B143" i="7"/>
  <c r="B150" i="7"/>
  <c r="D151" i="7"/>
  <c r="B159" i="7"/>
  <c r="B158" i="7"/>
  <c r="B155" i="7"/>
  <c r="B163" i="7"/>
  <c r="B162" i="7"/>
  <c r="B173" i="7"/>
  <c r="B172" i="7"/>
  <c r="B170" i="7"/>
  <c r="B171" i="7"/>
  <c r="B169" i="7"/>
  <c r="B176" i="7"/>
  <c r="D180" i="7"/>
  <c r="B179" i="7"/>
  <c r="D178" i="7"/>
  <c r="D177" i="7"/>
  <c r="C11" i="7" l="1"/>
  <c r="B11" i="7" s="1"/>
  <c r="D11" i="7" l="1"/>
  <c r="C13" i="7"/>
  <c r="D13" i="7" s="1"/>
  <c r="C14" i="7"/>
  <c r="D14" i="7" s="1"/>
  <c r="C117" i="7"/>
  <c r="B117" i="7" s="1"/>
  <c r="C116" i="7"/>
  <c r="B116" i="7" s="1"/>
  <c r="C115" i="7"/>
  <c r="D115" i="7" s="1"/>
  <c r="C114" i="7"/>
  <c r="D114" i="7" s="1"/>
  <c r="C113" i="7"/>
  <c r="B113" i="7" s="1"/>
  <c r="C110" i="7"/>
  <c r="D110" i="7" s="1"/>
  <c r="C109" i="7"/>
  <c r="B109" i="7" s="1"/>
  <c r="C108" i="7"/>
  <c r="D108" i="7" s="1"/>
  <c r="C107" i="7"/>
  <c r="D107" i="7" s="1"/>
  <c r="C106" i="7"/>
  <c r="D106" i="7" s="1"/>
  <c r="C103" i="7"/>
  <c r="D103" i="7" s="1"/>
  <c r="C102" i="7"/>
  <c r="B102" i="7" s="1"/>
  <c r="C101" i="7"/>
  <c r="D101" i="7" s="1"/>
  <c r="C100" i="7"/>
  <c r="D100" i="7" s="1"/>
  <c r="C99" i="7"/>
  <c r="B99" i="7" s="1"/>
  <c r="C96" i="7"/>
  <c r="D96" i="7" s="1"/>
  <c r="C95" i="7"/>
  <c r="B95" i="7" s="1"/>
  <c r="C94" i="7"/>
  <c r="D94" i="7" s="1"/>
  <c r="C93" i="7"/>
  <c r="D93" i="7" s="1"/>
  <c r="C92" i="7"/>
  <c r="B92" i="7" s="1"/>
  <c r="C89" i="7"/>
  <c r="B89" i="7" s="1"/>
  <c r="C88" i="7"/>
  <c r="B88" i="7" s="1"/>
  <c r="C87" i="7"/>
  <c r="D87" i="7" s="1"/>
  <c r="C86" i="7"/>
  <c r="D86" i="7" s="1"/>
  <c r="C85" i="7"/>
  <c r="B85" i="7" s="1"/>
  <c r="C82" i="7"/>
  <c r="D82" i="7" s="1"/>
  <c r="C81" i="7"/>
  <c r="B81" i="7" s="1"/>
  <c r="C80" i="7"/>
  <c r="D80" i="7" s="1"/>
  <c r="C79" i="7"/>
  <c r="D79" i="7" s="1"/>
  <c r="C78" i="7"/>
  <c r="B78" i="7" s="1"/>
  <c r="B80" i="7" l="1"/>
  <c r="B96" i="7"/>
  <c r="B100" i="7"/>
  <c r="B108" i="7"/>
  <c r="B13" i="7"/>
  <c r="B79" i="7"/>
  <c r="B87" i="7"/>
  <c r="B103" i="7"/>
  <c r="B107" i="7"/>
  <c r="B115" i="7"/>
  <c r="B82" i="7"/>
  <c r="B86" i="7"/>
  <c r="B94" i="7"/>
  <c r="B110" i="7"/>
  <c r="B106" i="7"/>
  <c r="B114" i="7"/>
  <c r="B93" i="7"/>
  <c r="B101" i="7"/>
  <c r="B14" i="7"/>
  <c r="D78" i="7"/>
  <c r="D81" i="7"/>
  <c r="D117" i="7"/>
  <c r="D113" i="7"/>
  <c r="D116" i="7"/>
  <c r="D109" i="7"/>
  <c r="D99" i="7"/>
  <c r="D102" i="7"/>
  <c r="D92" i="7"/>
  <c r="D95" i="7"/>
  <c r="D89" i="7"/>
  <c r="D85" i="7"/>
  <c r="D88" i="7"/>
  <c r="B2" i="7"/>
  <c r="B2" i="2"/>
  <c r="B2" i="1"/>
  <c r="C74" i="7" l="1"/>
  <c r="B74" i="7" s="1"/>
  <c r="C73" i="7"/>
  <c r="B73" i="7" s="1"/>
  <c r="D74" i="7" l="1"/>
  <c r="D73" i="7"/>
  <c r="C75" i="7"/>
  <c r="D75" i="7" s="1"/>
  <c r="C72" i="7"/>
  <c r="D72" i="7" s="1"/>
  <c r="C68" i="7"/>
  <c r="D68" i="7" s="1"/>
  <c r="C67" i="7"/>
  <c r="D67" i="7" s="1"/>
  <c r="C65" i="7"/>
  <c r="D65" i="7" s="1"/>
  <c r="C66" i="7"/>
  <c r="D66" i="7" s="1"/>
  <c r="C61" i="7"/>
  <c r="B61" i="7" s="1"/>
  <c r="C60" i="7"/>
  <c r="B60" i="7" s="1"/>
  <c r="C59" i="7"/>
  <c r="D59" i="7" s="1"/>
  <c r="C58" i="7"/>
  <c r="D58" i="7" s="1"/>
  <c r="C43" i="7"/>
  <c r="D43" i="7" s="1"/>
  <c r="C44" i="7"/>
  <c r="B44" i="7" s="1"/>
  <c r="C42" i="7"/>
  <c r="D42" i="7" s="1"/>
  <c r="C41" i="7"/>
  <c r="B41" i="7" s="1"/>
  <c r="B75" i="7" l="1"/>
  <c r="B72" i="7"/>
  <c r="B68" i="7"/>
  <c r="B67" i="7"/>
  <c r="B65" i="7"/>
  <c r="B66" i="7"/>
  <c r="D60" i="7"/>
  <c r="D61" i="7"/>
  <c r="B59" i="7"/>
  <c r="B58" i="7"/>
  <c r="B43" i="7"/>
  <c r="B42" i="7"/>
  <c r="D44" i="7"/>
  <c r="D41" i="7"/>
  <c r="C47" i="7" l="1"/>
  <c r="C22" i="7"/>
  <c r="C64" i="7"/>
  <c r="C71" i="7"/>
  <c r="C19" i="7"/>
  <c r="C10" i="7"/>
  <c r="C12" i="7"/>
  <c r="D47" i="7" l="1"/>
  <c r="B47" i="7"/>
  <c r="D64" i="7"/>
  <c r="B64" i="7"/>
  <c r="D10" i="7"/>
  <c r="B10" i="7"/>
  <c r="D71" i="7"/>
  <c r="B71" i="7"/>
  <c r="D22" i="7"/>
  <c r="B22" i="7"/>
  <c r="D19" i="7"/>
  <c r="B19" i="7"/>
  <c r="D12" i="7"/>
  <c r="B12" i="7"/>
</calcChain>
</file>

<file path=xl/sharedStrings.xml><?xml version="1.0" encoding="utf-8"?>
<sst xmlns="http://schemas.openxmlformats.org/spreadsheetml/2006/main" count="1011" uniqueCount="323">
  <si>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</si>
  <si>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</si>
  <si>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</si>
  <si>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</si>
  <si>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</si>
  <si>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</si>
  <si>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</si>
  <si>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</si>
  <si>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</si>
  <si>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</si>
  <si>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</si>
  <si>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</si>
  <si>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</si>
  <si>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</si>
  <si>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</si>
  <si>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</si>
  <si>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</si>
  <si>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</si>
  <si>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</si>
  <si>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</si>
  <si>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</si>
  <si>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</si>
  <si>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</si>
  <si>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</si>
  <si>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</si>
  <si>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</si>
  <si>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</si>
  <si>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</si>
  <si>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</si>
  <si>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</si>
  <si>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</si>
  <si>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</si>
  <si>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</si>
  <si>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</si>
  <si>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</si>
  <si>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</si>
  <si>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</si>
  <si>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</si>
  <si>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</si>
  <si>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</si>
  <si>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</si>
  <si>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</si>
  <si>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</si>
  <si>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</si>
  <si>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</si>
  <si>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</si>
  <si>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</si>
  <si>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</si>
  <si>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</si>
  <si>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</si>
  <si>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</si>
  <si>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</si>
  <si>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</si>
  <si>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</si>
  <si>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</si>
  <si>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</si>
  <si>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</si>
  <si>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</si>
  <si>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</si>
  <si>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</si>
  <si>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</si>
  <si>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</si>
  <si>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</si>
  <si>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</si>
  <si>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</si>
  <si>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4.</t>
  </si>
  <si>
    <t>5.</t>
  </si>
  <si>
    <t>6.</t>
  </si>
  <si>
    <t>7.</t>
  </si>
  <si>
    <t>8.</t>
  </si>
  <si>
    <t>9.</t>
  </si>
  <si>
    <t>10.</t>
  </si>
  <si>
    <t>11.</t>
  </si>
  <si>
    <t>Titel der Checkliste:</t>
  </si>
  <si>
    <t>Einstellungen</t>
  </si>
  <si>
    <t>Betriebsname:</t>
  </si>
  <si>
    <t>&lt;- Hier nichts eintragen</t>
  </si>
  <si>
    <t>dd.mm.yyyy</t>
  </si>
  <si>
    <t>zzzzzz</t>
  </si>
  <si>
    <t>Aktuelle Anzahl Sauenplätze</t>
  </si>
  <si>
    <t>Aktuelle Anzahl Ferkelaufzuchtplätze</t>
  </si>
  <si>
    <t>Betriebsregistriernummer</t>
  </si>
  <si>
    <t>Betrieb / auditierter Standort</t>
  </si>
  <si>
    <t>Beschreibung / Nachweise / Belege</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</si>
  <si>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</si>
  <si>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</si>
  <si>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</si>
  <si>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</si>
  <si>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</si>
  <si>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</si>
  <si>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</si>
  <si>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</si>
  <si>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</si>
  <si>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</si>
  <si>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</si>
  <si>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</si>
  <si>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</si>
  <si>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</si>
  <si>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</si>
  <si>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</si>
  <si>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</si>
  <si>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</si>
  <si>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t>Der Systemteilnehmer erkennt die Nutzungsbedingungen und Vorgaben des Labelgebers an.</t>
  </si>
  <si>
    <t>Abgleich des Betriebsbeschreibungsbogens, ggf. Korrektur bei betrieblichen Veränderungen.</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</si>
  <si>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</si>
  <si>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2</t>
  </si>
  <si>
    <t>Eine Parallelhaltung findet nicht statt bzw. es liegt eine Ausnahmegenehmigung für "ausnahmsweise gestattete Parallelhaltung" vor.</t>
  </si>
  <si>
    <r>
      <t xml:space="preserve">Kombinationen verschiedener Produktionsstandards einer Nutzungsart innerhalb eines teilnehmenden Betriebes ohne Vorliegen einer Ausnahmegenehmigung durch den DTSchB = </t>
    </r>
    <r>
      <rPr>
        <b/>
        <sz val="10"/>
        <color theme="1"/>
        <rFont val="Arial"/>
        <family val="2"/>
      </rPr>
      <t>K.O.</t>
    </r>
  </si>
  <si>
    <t>3.1</t>
  </si>
  <si>
    <t>Die Kontrollgänge und die festgestellten Auffälligkeiten sind zu protokollieren, wobei inbesondere auf Anzeichen für Schwanzbeißen, Schwanznekrosen und andere tiergesundheitliche Auffälligkeiten zu achten ist.</t>
  </si>
  <si>
    <t>3.2</t>
  </si>
  <si>
    <t>4.1</t>
  </si>
  <si>
    <t>Nur relevant für Betriebe, die in die Premiumkette liefern: Mit der Beratung des DTSchB wurde ein individueller Umstellungszeitraum inkl. Entwicklungsplan für die Ferkelerzeugung vereinbart.</t>
  </si>
  <si>
    <t>Nur relevant für Betriebe, die in die Premiumkette liefern: Die im Entwicklungsplan festgelegten Maßnahmen sind entsprechend der festgelegten Fristen umgesetzt.</t>
  </si>
  <si>
    <t>4.2</t>
  </si>
  <si>
    <r>
      <t xml:space="preserve">Einsatz von PMSG = </t>
    </r>
    <r>
      <rPr>
        <b/>
        <sz val="10"/>
        <color theme="1"/>
        <rFont val="Arial"/>
        <family val="2"/>
      </rPr>
      <t>K.O.</t>
    </r>
  </si>
  <si>
    <t>4.3.1</t>
  </si>
  <si>
    <t>Sauen in Gruppenhaltung: Langfaseriges organisches Material (z. B. Stroh oder Heu) wird zur freien Verfügung angeboten.</t>
  </si>
  <si>
    <t>Falls dieses nicht als Einstreu angeboten wird, muss es in Raufen, Automaten oder Ähnlichem und im Falle einer Abruffütterung räumlich getrennt von dieser angeboten werden. Durch darunter befindliche geschlossene Flächen, Spaltenverschlüsse, Trogschalen oder ähnliche Einrichtungen muss das Auffangen und Ansammeln des Materials und damit das Wühlverhalten der Tiere ermöglicht werden.</t>
  </si>
  <si>
    <t>4.3.2</t>
  </si>
  <si>
    <t>Sauen in Gruppenhaltung: Das Tier-Fressplatz-Verhältnis 1:1 wird eingehalten.</t>
  </si>
  <si>
    <t>Sowohl Abruffütterung als auch eine Fütterung zur freien (ad lib.) Aufnahme (z. B. durch einen Automaten oder Fütterung auf dem Boden) werden ebenfalls geduldet.</t>
  </si>
  <si>
    <t>Sauen in Gruppenhaltung: Das Tier-Fressplatz-Verhältnis bei Abruffütterung ist so gewählt, dass alle Tiere während der Aktivitäts- bzw. Lichtphase des Tages ausreichend fressen können.</t>
  </si>
  <si>
    <t>4.3.3</t>
  </si>
  <si>
    <t>Sauen in Gruppenhaltung: Krankenbuchten sind eindeutig als solche gekennzeichnet.</t>
  </si>
  <si>
    <t>4.4.1</t>
  </si>
  <si>
    <t xml:space="preserve">Sauen im Abferkelbereich: Jeder Sau wird ständig zugängliches organisches Beschäftigungsmaterial angeboten. </t>
  </si>
  <si>
    <t xml:space="preserve">Mind. ein Jutesack oder ähnliches Material
Empfehlung: Stroh oder vergleichbares langfaseriges organisches Material 
(Angebot z. B. in Raufen, so dass ständig verfügbar). </t>
  </si>
  <si>
    <t>4.4.2</t>
  </si>
  <si>
    <t>Saugferkel: Nach Anästhesie der Ferkel bis zur Wiedererlangung der vollständigen motorischen Fähigkeiten werden Schutzmaßnahmen (Wärme, Separation von der Muttersau) umgesetzt.</t>
  </si>
  <si>
    <t>Saugferkel: Tierverluste, die im direkten oder vermuteten Zusammenhang mit der Narkose auftreten, werden mit dem Hinweis, welche Methode angewandt wurde, dokumentiert.</t>
  </si>
  <si>
    <t>Saugferkel: Die Anforderungen für die Anwendung der Isofluran-Narkose durch den Tierhalter, die zusätzlich zu den gesetzlich bindenen Vorgaben der FerkBetSachV gelten, werden eingehalten.</t>
  </si>
  <si>
    <t>Saugferkel: Auf das Kupieren der Schwänze wird verzichtet.</t>
  </si>
  <si>
    <t>4.4.3</t>
  </si>
  <si>
    <t>Saugferkel: Spätestens ab dem 10. Lebenstag bis zum Ende der Säugezeit wird kau- und abschluckbares organisches Material zur freien Verfügung in einer Schale bodennah angeboten.</t>
  </si>
  <si>
    <t xml:space="preserve">z. B. Ferkelwühlerde, Luzernepellets, Strohpellets. Im Falle einer Stroheinstreu ist dies nicht erforderlich.
Ein Stück Holz ist nicht ausreichend. </t>
  </si>
  <si>
    <t>4.4.4</t>
  </si>
  <si>
    <t>Saugferkel: Spätestens ab dem 7. Lebenstag steht zur Wasseraufnahme mind. eine Tränkemöglichkeit zum Saufen aus offener Fläche zur Verfügung.</t>
  </si>
  <si>
    <t>Saugferkel: Bei Freilandhaltung in Hütten ist ab dem Zeitpunkt der Zufütterung oder spätestens ab dem 7. Lebenstag mind. eine Tränkemöglichkeit zum Saufen aus offener Fläche vorhanden.</t>
  </si>
  <si>
    <t>2. Ferkelerzeugung</t>
  </si>
  <si>
    <t>3. Ferkelaufzucht</t>
  </si>
  <si>
    <t>5.1</t>
  </si>
  <si>
    <r>
      <t xml:space="preserve">Zusätzlich zu diesen Mindestanforderungen müssen die Inhalte der → </t>
    </r>
    <r>
      <rPr>
        <b/>
        <sz val="10"/>
        <color theme="1"/>
        <rFont val="Arial"/>
        <family val="2"/>
      </rPr>
      <t>Richtlinie Ferkelaufzucht Premium</t>
    </r>
    <r>
      <rPr>
        <sz val="10"/>
        <color theme="1"/>
        <rFont val="Arial"/>
        <family val="2"/>
      </rPr>
      <t xml:space="preserve"> eingehalten werden. Für die Umstellung hinsichtlich dieser zusätzlichen Anforderungen werden entsprechend der betrieblichen Voraussetzungen zusammen mit der Beratung des DTSchB individuelle Umstellungszeiträume vereinbart. Der Umstellungszeitraum darf max. 2 Jahre ab Erstzertifizierung als Zukaufbetrieb betragen. </t>
    </r>
  </si>
  <si>
    <t>5.2</t>
  </si>
  <si>
    <t xml:space="preserve">Langfaseriges organisches Material (z. B. Stroh oder Heu) wird zur freien Verfügung angeboten. </t>
  </si>
  <si>
    <t>Falls dieses nicht als Einstreu angeboten wird, muss es in Raufen, Automaten oder ähnlichen Einrichtungen  angeboten werden. Durch darunter befindliche geschlossene Flächen, Spaltenverschlüsse, Trogschalen pder ähnliche Einrichtungen muss das Auffangen und Ansammeln des Materials und damit das Wühlverhalten sichergestellt werden.</t>
  </si>
  <si>
    <t>Weiteres geeignetes organisches Material wird angeboten.</t>
  </si>
  <si>
    <t>z. B. aufgehängte Hanfseile, aufgehängte Weichholzbalken, Hebelbalken aus Weichholz
Wenn im Liegebereich flächendeckend  Langstroh eingestreut ist, muss kein weiteres geeignetes organisches Material zur Beschäftigung angeboten werden.</t>
  </si>
  <si>
    <t>Es sind immer mind. 3 verschiedene organische kau- und abschluckbare Materialien auf dem Betrieb vorrätig, die nicht dem üblicherweise zur Verfügung stehenden langfaserigen Beschäftigungsmaterial entsprechen.</t>
  </si>
  <si>
    <t>z. B. Wühlerde, Strohpellets, Miscanthus, Heu, Äste, Maispflanzen, Maiskörner, Luzernepellets</t>
  </si>
  <si>
    <t xml:space="preserve">Im Notfall wird weiteres kau- und abschluckbares organische Material angeboten. </t>
  </si>
  <si>
    <t>Notfall bedeutet, wenn Schwanz-, Ohren- oder Flankenbeißen auftreten bzw. schon erste Anzeichen beobachtet wurden.</t>
  </si>
  <si>
    <t>5.3</t>
  </si>
  <si>
    <t>Das Tier-Fressplatz-Verhältnis entspricht den Anforderungen.</t>
  </si>
  <si>
    <t>5.4</t>
  </si>
  <si>
    <t>Im Fall von Schwanzbeißgeschehen bzw. bei ersten Anzeichen dafür werden umgehend Sofortmaßnahmen ergriffen.</t>
  </si>
  <si>
    <t xml:space="preserve">z. B. zusätzliches organisches Beschäftigungsmaterial, Separierung, Überprüfung der Funktionsfähigkeit von Einrichtungsgegenständen; Maßnahmen sind zu dokumentieren. </t>
  </si>
  <si>
    <t>Bei kurzen Schwänzen oder Schwanzverletzungen bei &gt; 20 % aller Aufzuchtferkel des Betriebes wird umgehend eine Beratung vom DTSchB in Anspruch genommen.</t>
  </si>
  <si>
    <t>5.5</t>
  </si>
  <si>
    <t>Es sind Krankenbuchten vorhanden.</t>
  </si>
  <si>
    <t>Krankenbuchten sind eindeutig als solche gekennzeichnet.</t>
  </si>
  <si>
    <t>Krankenbuchten sind mind. in Teilflächen eingestreut.</t>
  </si>
  <si>
    <t>RL Zert 2024
3.3</t>
  </si>
  <si>
    <t>RL Zert 2024
3.2</t>
  </si>
  <si>
    <t>RL Zert 2024
6.4.2</t>
  </si>
  <si>
    <t>RL Zert 2024
6</t>
  </si>
  <si>
    <t>Das heißt Buchten, in denen sich die Sauen jederzeit frei bewegen können. Eine Fixierung der Sauen darf bei Behandlungen und anderen Eingriffen an Ferkeln und Sauen kurzzeitig, also max. für die Dauer der Behandlung oder des Eingriffes, erfolgen.</t>
  </si>
  <si>
    <t>Für die Sau: Liege-/Säugebereich, Fress- und Kotbereich
Für die Ferkel: Ferkelnest</t>
  </si>
  <si>
    <t>Eine Fixierung ist nur kurzzeitig zum Besamen der Sauen zulässig.</t>
  </si>
  <si>
    <r>
      <t xml:space="preserve">Außerdem zu beachten ist TierSchNutztV § 30 Absatz 2a: "Im Zeitraum ab dem Absetzen ihrer Ferkel bis zur Besamung muss Sauen und Jungsauen eine uneingeschränkt nutzbare Bodenfläche von mindestens </t>
    </r>
    <r>
      <rPr>
        <b/>
        <i/>
        <sz val="10"/>
        <color theme="1"/>
        <rFont val="Arial"/>
        <family val="2"/>
      </rPr>
      <t>5 m² je Sau</t>
    </r>
    <r>
      <rPr>
        <i/>
        <sz val="10"/>
        <color theme="1"/>
        <rFont val="Arial"/>
        <family val="2"/>
      </rPr>
      <t xml:space="preserve"> zur Verfügung stehen." Übergangsfrist bis zum 09.02.2029 für Haltungseinrichtungen, die vor dem 09.02.2021 genehmigt oder in Benutzung genommen worden sind.</t>
    </r>
  </si>
  <si>
    <t>Die Fütterung mit bestehenden Abrufstationen wird bei Betrieben, die bereits vor dem 01.01.2023 als TSL-Zukaufbetrieb erstzertifiziert waren, geduldet.</t>
  </si>
  <si>
    <t>Dem Tier muss es möglich sein eine physiologische Körperhaltung einzunehmen.</t>
  </si>
  <si>
    <t>Sensorische Schätzung. Falls die sensorische Bewertung des Stallklimas während des Audits auffällig ist, muss eine technische Messung erfolgen.</t>
  </si>
  <si>
    <t xml:space="preserve">In Ställen mit Auslauf muss eine aktive Kühlmöglichkeit durch Sprüheinrichtung/Duschen, Suhlen oder Ähnliches im Auslauf vorhanden sein. Eine automatische Regelung muss vorhanden sein, z. B. durch einen Temperatursensor. Im Stall müssen in diesem Fall keine zusätzlichen Einrichtungen zur Luftkühlung festinstalliert sein. </t>
  </si>
  <si>
    <t xml:space="preserve">Die Menge an Stroh muss ausreichend sein, um einen direkten Kontakt zwischen dem Tier und dem Boden zu verhindern. </t>
  </si>
  <si>
    <t>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</si>
  <si>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Notfall bedeutet, wenn Schwanz-, Ohren- oder Flankenbeißen auftreten oder schon erste Anzeichen davon beobachtet werden.</t>
  </si>
  <si>
    <t xml:space="preserve">Der Sau und ihrem Wurf stehen Buchten zur freien Abferkelung zur Verfügung. </t>
  </si>
  <si>
    <t>Die Mindestflächen der Abferkelbuchten werden eingehalten.</t>
  </si>
  <si>
    <t>Die Abferkelbuchten sind so ausgestaltet, dass sie eine Trennung in Funktionsbereiche ermöglichen.</t>
  </si>
  <si>
    <t>Der Liegebereich der Sau ist planbefestigt und mit geeignetem organischen Material eingestreut.</t>
  </si>
  <si>
    <t>Der Boden des Ferkelnestes ist planbefestigt und mit geeignetem Material eingestreut.</t>
  </si>
  <si>
    <t>Die Säugezeit ist mind. für die Dauer von 28 Tagen geplant.</t>
  </si>
  <si>
    <t>Die Ferkel werden nur abgesetzt, wenn das mittlere Gewicht der Ferkel eines Wurfes mind. 8 kg beträgt.</t>
  </si>
  <si>
    <t xml:space="preserve">Eine künstliche Amme zur mutterlosen Ferkelaufzucht wird nur im Einzelfall eingesetzt. </t>
  </si>
  <si>
    <t>Die Sauen werden in Gruppen gehalten.</t>
  </si>
  <si>
    <r>
      <t>Jeder Sau steht eine Gesamtfläche von 
mind. 4 m</t>
    </r>
    <r>
      <rPr>
        <vertAlign val="superscript"/>
        <sz val="10"/>
        <color theme="1"/>
        <rFont val="Arial"/>
        <family val="2"/>
      </rPr>
      <t>2</t>
    </r>
    <r>
      <rPr>
        <sz val="10"/>
        <color theme="1"/>
        <rFont val="Arial"/>
        <family val="2"/>
      </rPr>
      <t xml:space="preserve"> zur Verfügung.</t>
    </r>
  </si>
  <si>
    <t>Die Buchten sind so ausgestaltet, dass sie den Sauen eine Trennung von Liege- und Kotbereich ermöglichen.</t>
  </si>
  <si>
    <t>Der Liegebereich ist planbefestigt, flächendeckend mit geeignetem organischen Material eingestreut und trocken.</t>
  </si>
  <si>
    <t>Ein Tier-Fressplatz-Verhältnis von 1:1 wird eingehalten.</t>
  </si>
  <si>
    <t>Die Sauen werden vor gegenseitigem Verdrängen geschützt.</t>
  </si>
  <si>
    <t>Auf die Fütterung mit Abrufstationen wird verzichtet.</t>
  </si>
  <si>
    <t>Den Sauen steht ein ständig zugänglicher Auslauf zur Verfügung.</t>
  </si>
  <si>
    <t>Bei Fütterung mit Abrufstationen: Zusätzliches langfaseriges organisches Material in Raufen oder vergleichbaren Behältnissen zur ad lib. Aufnahme angeboten.</t>
  </si>
  <si>
    <t>Die Auslaufläche beträgt mind. 1,5 m² pro Sau.</t>
  </si>
  <si>
    <t>Bei Fütterung mit Abrufstationen: Zusätzliches langfaseriges organisches Material wird in Raufen oder vergleichbaren Behältnissen zur ad lib. Aufnahme angeboten.</t>
  </si>
  <si>
    <t>Die Tiere weisen keine erkennbaren Zeichen auf, die auf eine Störung des Allgemeinbefindens des Gesamtbestandes hinweisen.</t>
  </si>
  <si>
    <t>Die Buchten sind so ausgestaltet, dass sie den Schweinen eine Trennung von Liege- und Kotbereich ermöglichen.</t>
  </si>
  <si>
    <t>Im Falle einer Strukturierung der Bucht durch eine erhöhte Ebene: Die Fläche der erhöhten Ebene wird max. zu 50 % an das vorgeschriebene Platzangebot angerechnet und diese macht nicht mehr als 40 % der gesamten nutzbaren Fläche aus.</t>
  </si>
  <si>
    <t>Jeder Fressplatz ist frei zugänglich und breit genug.</t>
  </si>
  <si>
    <t>Die Schadgaskonzentrationen sind in Bereichen, die die Gesundheit der Tiere nicht beeinträchtigen.</t>
  </si>
  <si>
    <t>Falls eine technische Messung durchgeführt wird: Bei Ammoniak-Werten &gt; 10 ppm werden mit dem DTSchB Maßnahmen besprochen.</t>
  </si>
  <si>
    <t>z. B. Überprüfung durch Stallklimaexperten</t>
  </si>
  <si>
    <t>Funktionsfähige Einrichtungen zur Luftkühlung oder andere Kühlungsmöglichkeiten sind vorhanden.</t>
  </si>
  <si>
    <t>Diese Kühlungsmöglichkeiten werden bei Bedarf eingesetzt.</t>
  </si>
  <si>
    <t>Die Krankenbuchten sind als solche gekennzeichnet.</t>
  </si>
  <si>
    <t>Die Tränken und das Futter in den Krankenbuchten sind jederzeit für alle Tiere erreichbar.</t>
  </si>
  <si>
    <t xml:space="preserve">Antibiotika werden nur nach tierärztlicher Indikation und nicht zur Prophylaxe eingesetzt. </t>
  </si>
  <si>
    <t>Auf den Einsatz von Reserveantibiotika für die Humanmedizin wird verzichtet.</t>
  </si>
  <si>
    <t>Der Auslauf ist entweder eingestreut oder es wird den Schweinen langfaseriges organisches Beschäftigungsmaterial zur freien Verfügung im Auslauf angeboten.</t>
  </si>
  <si>
    <t>Geeignetes organisches langfaseriges Material im Stall zur freien Verfügung wird angeboten.</t>
  </si>
  <si>
    <t xml:space="preserve">z. B. Heu, Stroh.
Das Material kann in Raufen dargereicht werden. </t>
  </si>
  <si>
    <t>z. B. Langstroh, Heu, Silage oder vergleichbare Materialien. 
Holz und Seile zählen hier nicht als geeignetes organisches Material. 
Falls im Liegebereich flächendeckend Langstroh eingestreut wird, ist die Bereitstellung von weiteren Beschäftigungsmaterialien nicht verpflichtend.
Das organische Material kann in einer Raufe oder anderen Behältnissen angeboten werden. Das Beschäftigungsmaterial muss in einem Verhältnis von max. 12 Tieren pro Beschäftigungsplatz an den Raufen oder anderen Behältnissen angeboten werden.</t>
  </si>
  <si>
    <t>Rahmen-bedingungen FEZ P 2024</t>
  </si>
  <si>
    <t>RL Mastschwein 2024 
4.2</t>
  </si>
  <si>
    <t>RL Mastschwein 2024 
4.4</t>
  </si>
  <si>
    <t>RL Mastschwein 2024 
4.5</t>
  </si>
  <si>
    <t>RL Mastschwein 2024 
4.6</t>
  </si>
  <si>
    <t>RL Mastschwein 2024 
4.8</t>
  </si>
  <si>
    <t>RL Mastschwein 2024 
6.1</t>
  </si>
  <si>
    <t>RL Mastschwein 2024 
6.2</t>
  </si>
  <si>
    <t>RL Mastschwein 2024 
6.3</t>
  </si>
  <si>
    <t>RL Mastschwein 2024 
6.4</t>
  </si>
  <si>
    <t>RL Mastschwein 2024 
6.5</t>
  </si>
  <si>
    <t>MA FEZ&amp;FAZ 2024 
4.1</t>
  </si>
  <si>
    <t>Der Liegebereich ist planbefestigt, flächendeckend mit geeignetem Material eingestreut und trocken.</t>
  </si>
  <si>
    <t>Die Schadgaskonzentrationen liegen in Bereichen, die die Gesundheit der Tiere nicht beeinträchtigen.</t>
  </si>
  <si>
    <t>Antibiotika, die bei &gt; 30 % der Tiere (Jungsauen) angewendet werden sollen, werden nur nach Resistenztest angewendet.</t>
  </si>
  <si>
    <t>Auf Reserveantibiotika für die Humanmedizin wird verzichtet.</t>
  </si>
  <si>
    <t xml:space="preserve">Die Mindestflächen für den Liegebereich im Stall werden eingehalten. </t>
  </si>
  <si>
    <t xml:space="preserve">Die Platzanforderung von mind. 15 m² insgesamt wird eingehalten. </t>
  </si>
  <si>
    <t xml:space="preserve">Die Mindestfläche von 4 m² für den Liegebereich im Stall wird eingehalten. </t>
  </si>
  <si>
    <t>Der Liegebereich ist eingestreut.</t>
  </si>
  <si>
    <t xml:space="preserve">Die Platzanforderung von mind. 5 m² an den Auslauf wird eingehalten. </t>
  </si>
  <si>
    <t>Es sind ausreichend Krankenbuchten vorhanden.</t>
  </si>
  <si>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</si>
  <si>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t>Saugferkel: Allen Tieren wird jederzeit Zugang zu Beschäftigungsmaterial ermöglicht.</t>
  </si>
  <si>
    <t>Kapitel 4.2.4 RL FEZ P 2024</t>
  </si>
  <si>
    <r>
      <t xml:space="preserve">Prüfung des vorangegangenen Auditberichts und der darin festgehaltenen Korrekturmaßnahmen zur Abstellung der Abweichungen </t>
    </r>
    <r>
      <rPr>
        <b/>
        <sz val="10"/>
        <color theme="1"/>
        <rFont val="Arial"/>
        <family val="2"/>
      </rPr>
      <t xml:space="preserve"> </t>
    </r>
  </si>
  <si>
    <r>
      <t xml:space="preserve">Innerhalb eines Jahres nach Erstzertifizierung der Ferkelzeugung als Zukaufbetrieb muss der Betrieb einen mit der Beratung des DTSchB abgestimmten Entwicklungsplan für die Umstellung der Ferkelerzeugung auf die Anforderungen der → </t>
    </r>
    <r>
      <rPr>
        <b/>
        <sz val="10"/>
        <color theme="1"/>
        <rFont val="Arial"/>
        <family val="2"/>
      </rPr>
      <t>Richtlinie Ferkelerzeugung Premium</t>
    </r>
    <r>
      <rPr>
        <sz val="10"/>
        <color theme="1"/>
        <rFont val="Arial"/>
        <family val="2"/>
      </rPr>
      <t xml:space="preserve"> vorlegen. 
Der Umstellungszeitraum darf max. 10 Jahre ab Erstzertifizierung als Zukaufbetrieb betragen. Für Betriebe, die vor dem 01.07.2019 im TSL-System kontrolliert wurden, gilt der 01.07.2019 als Beginn des Umstellungszeitraums.
Zusätzlich zu diesen Mindestanforderungen müssen nach Ablauf der im Entwicklungsplan festgelegten Fristen die jeweiligen Anforderungen der → </t>
    </r>
    <r>
      <rPr>
        <b/>
        <sz val="10"/>
        <color theme="1"/>
        <rFont val="Arial"/>
        <family val="2"/>
      </rPr>
      <t xml:space="preserve"> Richtlinie Ferkelerzeugung Premium </t>
    </r>
    <r>
      <rPr>
        <sz val="10"/>
        <color theme="1"/>
        <rFont val="Arial"/>
        <family val="2"/>
      </rPr>
      <t>eingehalten werden. 
Eine Ausnahme gilt für Betriebe, die vor dem 15.11.2022 von Beratern des TSL erstberaten wurden. Von diesen Betrieben sind nach Ablauf der im Entwicklungsplan festgelegten Fristen die jeweiligen Anforderungen der Rahmenbedingungen (</t>
    </r>
    <r>
      <rPr>
        <sz val="10"/>
        <color theme="1"/>
        <rFont val="Calibri"/>
        <family val="2"/>
      </rPr>
      <t xml:space="preserve">→ </t>
    </r>
    <r>
      <rPr>
        <b/>
        <sz val="10"/>
        <color theme="1"/>
        <rFont val="Arial"/>
        <family val="2"/>
      </rPr>
      <t>MU 6.1</t>
    </r>
    <r>
      <rPr>
        <sz val="10"/>
        <color theme="1"/>
        <rFont val="Arial"/>
        <family val="2"/>
      </rPr>
      <t xml:space="preserve">) einzuhalten. </t>
    </r>
  </si>
  <si>
    <t>Sauen im Abferkelbereich: Jeder Sau steht ab Aufstallung in der Abferkelbucht bis nach Abschluss des Geburtsvorgangs ständig sicher erreichbares Nestbaumaterial zur Verfügung.</t>
  </si>
  <si>
    <t>Tier-Fressplatz-Verhältnis rationiert: 1:1; ad lib. (trocken): 3:1; ad lib. (Brei): 6:1</t>
  </si>
  <si>
    <t>Ein Auslauf ist vorhanden und ständig zugänglich.</t>
  </si>
  <si>
    <t>z. B. Langstroh, Heu, Silage oder vergleichbare Materialien 
Holz und Seile zählen hier nicht als geeignetes organisches Material. 
Falls im Liegebereich flächendeckend Langstroh eingestreut wird, ist die Bereitstellung von weiteren Beschäftigungsmaterialien nicht verpflichtend.
Das organische Material kann in einer Raufe oder anderen Behältnissen angeboten werden. Das Beschäftigungsmaterial muss in einem Verhältnis von max. 12 Tieren pro Beschäftigungsplatz an den Raufen oder anderen Behältnissen angeboten werden.</t>
  </si>
  <si>
    <t>Krankenbuchten sind als solche gekennzeichnet.</t>
  </si>
  <si>
    <r>
      <t>Gültig ab: 01.01.2024
*Übergangsfrist für Bestandsbetriebe (Zertifizierung vor 01.01.</t>
    </r>
    <r>
      <rPr>
        <sz val="8"/>
        <color theme="1"/>
        <rFont val="Arial"/>
        <family val="2"/>
      </rPr>
      <t>): Erfassung von Abweichungen ab 01.01., Berücksichtigung in Risikoeinstufung ab 01.07.</t>
    </r>
  </si>
  <si>
    <t xml:space="preserve">Die Mindestplatzanforderungen an den Auslauf werden eingehalten. </t>
  </si>
  <si>
    <t>7,5 m² Bruttofläche</t>
  </si>
  <si>
    <t xml:space="preserve">Die Mindestplatzanforderungen für den Auslauf werden eingehalten. </t>
  </si>
  <si>
    <t xml:space="preserve">Die Mindestplatzanforderungen für die Gesamtfläche (Stallgrundfläche und Auslauf) werden eingehalten. </t>
  </si>
  <si>
    <t>Die Mindestplatzanforderungen für die Stallgrundfläche werden eingehalten.</t>
  </si>
  <si>
    <t>z. B. Verletzungen, Lahmheiten, Immobilität, Apathie, Anzeichen von Schmerzen, Abmagerung, Symptome von Infektionserkrankungen, Abweichungen vom Normalverhalten.</t>
  </si>
  <si>
    <t xml:space="preserve">Bei Störungen des Allgemeinbefindens der Tiere werden wirksame Gegenmaßnahmen ergriffen und protokolliert. </t>
  </si>
  <si>
    <t>Die Krankenbuchten sind in mind. 2/3 der geforderten Fläche (Liegebereich) eingestreut.</t>
  </si>
  <si>
    <t xml:space="preserve">Die Mindestplatzanforderungen für Krankenbuchten werden erfüllt. </t>
  </si>
  <si>
    <t xml:space="preserve">Die Mindestplatzanforderungen für Krankenbuchten sind eingehalten. </t>
  </si>
  <si>
    <t>Die Mindestplatzanforderungen an die Gesamtfläche (Stallgrundfläche und Auslauf) werden eingehalten.</t>
  </si>
  <si>
    <r>
      <t>Gültig ab: 01.01</t>
    </r>
    <r>
      <rPr>
        <sz val="8"/>
        <rFont val="Arial"/>
        <family val="2"/>
      </rPr>
      <t>.2024</t>
    </r>
    <r>
      <rPr>
        <sz val="8"/>
        <color theme="1"/>
        <rFont val="Arial"/>
        <family val="2"/>
      </rPr>
      <t xml:space="preserve">
*Übergangsfrist für Bestandsbetriebe (Zertifizierung vor 01.01.</t>
    </r>
    <r>
      <rPr>
        <sz val="8"/>
        <color theme="1"/>
        <rFont val="Arial"/>
        <family val="2"/>
      </rPr>
      <t>): Erfassung von Abweichungen ab 01.01., Berücksichtigung in Risikoeinstufung ab 01.07.</t>
    </r>
  </si>
  <si>
    <t>Auf den Einsatz von PMSG wird verzichtet.*</t>
  </si>
  <si>
    <t>Einsatz von PMSG</t>
  </si>
  <si>
    <t>Der Transport von Absatzferkeln ist so geplant, dass die Transportstrecke nicht mehr als 200 km beträgt.</t>
  </si>
  <si>
    <t>Berechnung der geplanten Transportstrecke</t>
  </si>
  <si>
    <t>Berechnung der geplanten Transportdauer
Der Transport beginnt mit dem Beladen des ersten Tieres auf dem Herkunftsbetrieb und endet mit der Ankunft am Aufzuchtbetrieb.</t>
  </si>
  <si>
    <t>Sauen in Gruppenhaltung: Pro Bucht werden mind. 2 funktionsfähige Tränken vorgehalten.</t>
  </si>
  <si>
    <r>
      <t xml:space="preserve">Chirurgische Kastration von männlichen Ferkeln ohne Schmerzausschaltung und Betäubung = </t>
    </r>
    <r>
      <rPr>
        <b/>
        <sz val="10"/>
        <color theme="1"/>
        <rFont val="Arial"/>
        <family val="2"/>
      </rPr>
      <t>K.O.</t>
    </r>
    <r>
      <rPr>
        <sz val="10"/>
        <color theme="1"/>
        <rFont val="Arial"/>
        <family val="2"/>
      </rPr>
      <t xml:space="preserve">
Erlaubte Methoden sind die Jungebermast, die Impfung gegen Ebergeruch („Immunokastration“) sowie die chirurgische Kastration unter Allgemeinanästhesie kombiniert mit zusätzlicher Schmerzmittelgabe.</t>
    </r>
    <r>
      <rPr>
        <b/>
        <sz val="10"/>
        <color theme="1"/>
        <rFont val="Arial"/>
        <family val="2"/>
      </rPr>
      <t>.</t>
    </r>
  </si>
  <si>
    <t>Nur relevant für Betriebe, die in die Premiumkette liefern: Mit der Beratung des DTSchB wurde ein individueller Umstellungszeitraum für die Ferkelaufzucht vereinbart.</t>
  </si>
  <si>
    <t>Jede Bucht verfügt über mind. 2 funktionsfähige Tränken.</t>
  </si>
  <si>
    <t>Mind. eine Tränke ist gänzlich getrennt vom Futtertrog/Futterautomaten in einem Abstand von mind. 0,5 m platziert.</t>
  </si>
  <si>
    <t>Mind. eine der Tränken ist offen (z. B. Schalentränke).</t>
  </si>
  <si>
    <t>Jeder Sau steht eine Liegefläche von 
mind. 1,3 m² zur Verfügung.</t>
  </si>
  <si>
    <t>z. B. mittels Fressplatzteilern, durch Einzelfressstände</t>
  </si>
  <si>
    <t>Mind. eine Tränke ist gänzlich getrennt vom Futtertrog/Futterautomaten in einem Abstand von mind. 1 m platziert.</t>
  </si>
  <si>
    <t>Das Verhältnis von Tieren zu offenen Tränkeplätzen entspricht den Anforderungen.</t>
  </si>
  <si>
    <t xml:space="preserve">Max. 36 Tiere pro offener Tränkeplatz </t>
  </si>
  <si>
    <t>Je Bucht ist mind. eine offene Tränke vorhanden.</t>
  </si>
  <si>
    <t>Räumlich getrennt von den Mastbuchten; entsprechend den Anforderungen an Mastbuchten Premiumstufe sofern nicht weiter geregelt; für mind. 4 % des Bestandes, 
Auslauf muss nicht vorgesehen sein. 
Als Krankenbucht für Tiere mit nicht-infektiösen Erkrankungen bzw. Verletzungen ist auch eine Abtrennung eines Teilbereichs der Buchten zulässig.</t>
  </si>
  <si>
    <r>
      <t xml:space="preserve">Tier-Fressplatz-Verhältnis rationiert: 1:1; ad lib. (trocken): max. 3:1 (in Gruppen &lt; 30 Tieren) oder max. 4:1 (in Gruppen </t>
    </r>
    <r>
      <rPr>
        <u/>
        <sz val="10"/>
        <color theme="1"/>
        <rFont val="Arial"/>
        <family val="2"/>
      </rPr>
      <t>&gt;</t>
    </r>
    <r>
      <rPr>
        <sz val="10"/>
        <color theme="1"/>
        <rFont val="Arial"/>
        <family val="2"/>
      </rPr>
      <t xml:space="preserve"> 30 Tieren); ad lib. (Brei): 8:1. </t>
    </r>
  </si>
  <si>
    <r>
      <t xml:space="preserve">Tier-Fressplatz-Verhältnis rationiert: 1:1; ad lib. (trocken): max. 3:1 (in Gruppen mit 
</t>
    </r>
    <r>
      <rPr>
        <u/>
        <sz val="10"/>
        <color theme="1"/>
        <rFont val="Arial"/>
        <family val="2"/>
      </rPr>
      <t>&lt;</t>
    </r>
    <r>
      <rPr>
        <sz val="10"/>
        <color theme="1"/>
        <rFont val="Arial"/>
        <family val="2"/>
      </rPr>
      <t xml:space="preserve"> 29 Tieren) oder max. 4:1 (in Gruppen mit 
</t>
    </r>
    <r>
      <rPr>
        <u/>
        <sz val="10"/>
        <color theme="1"/>
        <rFont val="Arial"/>
        <family val="2"/>
      </rPr>
      <t>&gt;</t>
    </r>
    <r>
      <rPr>
        <sz val="10"/>
        <color theme="1"/>
        <rFont val="Arial"/>
        <family val="2"/>
      </rPr>
      <t xml:space="preserve"> 30 Tieren); ad lib. (Brei): 8:1. </t>
    </r>
  </si>
  <si>
    <t xml:space="preserve">Entsprechend den Anforderungen an Mastbuchten sofern nicht weiter geregelt; für mind. 4 % des Bestandes
Auslauf muss nicht vorgesehen sein. Als Krankenbucht für Tiere mit nicht-infektiösen Erkrankungen bzw. Verletzungen ist auch eine Abtrennung eines Teilbereichs der Buchten zulässig. </t>
  </si>
  <si>
    <t xml:space="preserve">Bei Grenzwertüberschreitung: Nachweis über die erfolgte Beratung muss vorliegen und Gegenmaßnahmen müssen dokumentiert werden. </t>
  </si>
  <si>
    <t>Mindestanforderungen Ferkelerzeugung und Ferkelaufzucht - erweitert</t>
  </si>
  <si>
    <t xml:space="preserve">Sofern aus gesundheitlichen oder anderen tierschutzrelevanten Gründen ein Wurfausgleich oder der Einsatz einer natürlichen Amme nicht möglich ist.
Eine Nutzung ist mit Begründung und der Beschreibung vorangegangener Maßnahmen zu dokumentieren. </t>
  </si>
  <si>
    <t>Protokolle des Tierhalters mit den aufgeführten Gegenmaßnahmen, die durchgeführt wurden, prüfen sowie die Dokumentation über die Entwicklung der Situation.</t>
  </si>
  <si>
    <t>Sensorische Schätzung.
Falls die sensorische Bewertung des Stallklimas während des Audits auffällig ist, muss eine technische Messung erfolgen.</t>
  </si>
  <si>
    <t>Vor allem im Sommerhalbjahr (Anfang April bis Ende Oktober).</t>
  </si>
  <si>
    <t xml:space="preserve">Schweine, die durch eine Verletzung oder Erkrankung sichtbar in ihrem Allgemeinbefinden gestört sind, oder Einzeltiere, die nicht in der Lage sind, selbstständig ausreichend Wasser u./o. Futter aufzunehmen, werden abgesondert, entsprechend versorgt u./o. behandelt oder tierschutzgerecht getötet. </t>
  </si>
  <si>
    <t>Antibiotika, die bei &gt; 30 % der Zuchtläufer angewendet werden sollen, werden nur nach Resistenztest angewendet.</t>
  </si>
  <si>
    <t>Reserveantibiotika für die Humanmedizin: Cephalosporine der 3. und 4. Generation und Fluorchinolone und Polypeptid-Antibiotika, s. RL Mastschwein Anhang 9.1.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</si>
  <si>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Reserveantibiotika für die Humanmedizin: Cephalosporine der 3. und 4. Generation und Fluorchinolone und Polypeptid-Antibiotika, s.R L Mastschwein Anhang 9.1.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</si>
  <si>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Leichtes Gefälle u./o. max. 3 % Perforation erlaubt; Langstroh, Häckselstroh, Hobelspäne oder vergleichbare organische Materialien erlaubt.
Flächendeckend bedeutet, dass auch bei inhomogener Verteilung der Einstreu die Gesamtmenge für eine Bedeckung des Liegebereichs ausreicht.</t>
  </si>
  <si>
    <t>n. a.</t>
  </si>
  <si>
    <t xml:space="preserve">Schweine, die durch eine Verletzung oder Erkrankung sichtbar in ihrem Allgemeinbefinden gestört sind, oder Einzeltiere, die nicht in der Lage sind, selbstständig ausreichend Wasser und/oder Futter aufzunehmen, werden abgesondert, entsprechend versorgt u./o. behandelt oder werden tierschutzgerecht getötet. </t>
  </si>
  <si>
    <t>Leichtes Gefälle u./o. max. 3 % Perforation erlaubt; 
Langstroh, Häckselstroh, Hobelspäne oder vergleichbare organische Materialien erlaubt
Flächendeckend bedeutet, dass auch bei inhomogener Verteilung der Einstreu die Gesamtmenge für eine Bedeckung des Liegebereichs ausreicht.</t>
  </si>
  <si>
    <t xml:space="preserve">&lt; 50 kg       0,80 m² je Tier                                                                    
50 - 120 kg  1,50 m² je Tier                                                                       
&gt; 120 kg     2,30 m² je Tier  </t>
  </si>
  <si>
    <t xml:space="preserve">&lt; 50 kg       0,40 m² je Tier                                                                    
50-120 kg   0,80 m² je Tier                                                                       
&gt; 120 kg     1,20 m² je Tier                                                         </t>
  </si>
  <si>
    <t>&lt; 50 kg        0,25 m² je Tier
50 - 120 kg   0,60 m² je Tier
&gt; 120 kg      0,90 m² je Tier                                                             
Die Bemessung des Liegebereiches erfolgt grundsätzlich exklusive evtl. Einrichtungen, d. h. den Tieren müssen die vorgegebenen Flächenmaße als Liegefläche uneingeschränkt zur Verfügung stehen.</t>
  </si>
  <si>
    <t>&lt; 50 kg        0,25 m² je Tier
50 - 120 kg  0,60 m² je Tier
&gt; 120 kg      0,90 m² je Tier                                                             
Die Bemessung des Liegebereiches erfolgt grundsätzlich exklusive evtl. Einrichtungen, d. h. den Tieren müssen die vorgegebenen Flächenmaße als Liegefläche uneingeschränkt zur Verfügung stehen.</t>
  </si>
  <si>
    <t xml:space="preserve">&lt; 50 kg       0,40 m² je Tier                                                                    
50 - 120 kg  0,80 m² je Tier                                                                       
&gt; 120 kg     1,20 m² je Tier                                                         </t>
  </si>
  <si>
    <t xml:space="preserve">&lt; 50 kg:       0,80 m² je Tier
50 - 120 kg: 1,50 m² je Tier 
&gt; 120 kg:     2,30 m² je Tier </t>
  </si>
  <si>
    <t xml:space="preserve">&lt; 50 kg        0,30 m² je Tier                                                                  
50 - 120 kg  0,50 m² je Tier                                                                  
&gt; 120 kg      0,80 m² je Tier                                               </t>
  </si>
  <si>
    <t xml:space="preserve">&lt; 50 kg:      0,80 m² je Tier
50 - 120 kg: 1,50 m² je Tier 
&gt; 120 kg:     2,30 m² je Tier </t>
  </si>
  <si>
    <t xml:space="preserve">Die Mindestplatzanforderungen an die Stallgrundfläche werden eingehalten. </t>
  </si>
  <si>
    <t xml:space="preserve">&lt; 50 kg        0,3 m² je Tier                                                                  
50 - 120 kg  0,5 m² je Tier                                                                  
&gt; 120 kg      0,8 m² je Tier                                               </t>
  </si>
  <si>
    <t xml:space="preserve"> s. Umstellungsplan</t>
  </si>
  <si>
    <r>
      <t xml:space="preserve">Keine ANG/BiB vorhanden = </t>
    </r>
    <r>
      <rPr>
        <b/>
        <sz val="10"/>
        <color theme="1"/>
        <rFont val="Arial"/>
        <family val="2"/>
      </rPr>
      <t xml:space="preserve">n. a. </t>
    </r>
  </si>
  <si>
    <t>Zugang zu allen Betriebseinheiten (sofern nicht in der ANG abweichend angegeben); unterscheidbare Ohrmarken für TSL- und Nicht-TSL-Sauen u./o. -Ferkel; getrennte Bestandsregister für alle Betriebseinheiten; explizite Kennzeichnung auf ausgehenden Lieferscheinen als TSL- oder Nicht-TSL-Tiere.</t>
  </si>
  <si>
    <t>Sauen in Gruppenhaltung: Sauen, die durch eine Verletzung oder Erkrankung sichtbar in ihrem Allgemeinbefinden gestört sind, oder Einzeltiere, die nicht in der Lage sind, selbstständig ausreichend Wasser u./o. Futter aufzunehmen, werden in Krankenbuchten abgesondert, entsprechend versorgt u./o. behandelt oder tierschutzgerecht getötet.</t>
  </si>
  <si>
    <t>Schweine, die durch eine Verletzung oder Erkrankung sichtbar in ihrem Allgemeinbefinden gestört sind, oder Einzeltiere, die nicht in der Lage sind, selbstständig ausreichend Wasser u./o. Futter aufzunehmen, werden in Krankenbuchten abgesondert, entsprechend versorgt u./o. behandelt oder tierschutzgerecht getötet.</t>
  </si>
  <si>
    <t>Die Bedingungen für eine ANG für "ausnahmsweise gestattete Parallelhaltung" werden eingehalten.</t>
  </si>
  <si>
    <t>Der Gesundheitszustand der Tiere wird 2x täglich durch eine nachweislich nach §26 (Absatz 1 Nr. 3) der TierSchNutztV sachkundige Person kontrolliert und protokolliert.</t>
  </si>
  <si>
    <t>Der Transport von Absatzferkeln ist so geplant, dass die Transportdauer 4 h nicht überschreitet.</t>
  </si>
  <si>
    <t>Auf den Einsatz von PMSG wird verzichtet.</t>
  </si>
  <si>
    <t>Sauen in Gruppenhaltung: Es sind Krankenbuchten vorhanden.</t>
  </si>
  <si>
    <t>Sauen in Gruppenhaltung: Krankenbuchten für Tiere mit Erkrankungen u./o. schwerwiegenden Verletzungen des Bewegungsapparates sind mind. in Teilflächen (Liegebereich) eingestreut oder weisen eine weiche Liegefläche z. B. in Form einer Gummimatte auf.</t>
  </si>
  <si>
    <t>Saugferkel: Auf die chirurgische Kastration von männlichen Ferkeln ohne Schmerzausschaltung und Betäubung wird verzichtet.</t>
  </si>
  <si>
    <t>• Standardverfahrensbeschreibung zur betriebsindividuellen Durchführung der Kastration liegt vor (→ MU 6.2).
• Dokumentation der selbstständigen Isofluran-Narkose bei mind. 100 Ferkeln oder bei mind. 3 Durchgängen liegt vor (→ MU 6.3).
• Dokumentation der mind. 1 x jährlichen Begleitung der Inhalationsnarkose durch den Tierarzt für einen gesamten Durchgang u./o. mind. eine Stunde liegt vor.
• Unterlagen und Dokumentationen, welche laut FerkBetSachV erforderlich sind, werden vorgehalten, auch die vom Tierarzt bei der Abgabe des Isofluran erstellten Anwendungs- und Abgabebelege.
• Verwendete Geräte beinhalten Filtersysteme und manipulationssichere Zählereinheiten und halten alle notwendigen Arbeitsschutzstandards ein. Alte Geräte werden entsprechend nachgerüstet und dies wird dokumentiert. 
• Heilungsfördernde und desinfizierende Wundsprays mit einer bestehenden Zulassung für Haut(-wunden) sind auf dem Betrieb vorhanden. 
• Warme Bereiche für die Ferkel, in welchen die Tiere vor der Sau weitgehend geschützt sind 
(z. B. Ferkelnest mit Wärmelampe), sind vorhanden.</t>
  </si>
  <si>
    <r>
      <t xml:space="preserve">Kupieren der Schwänze = </t>
    </r>
    <r>
      <rPr>
        <b/>
        <sz val="10"/>
        <color theme="1"/>
        <rFont val="Arial"/>
        <family val="2"/>
      </rPr>
      <t>K.O</t>
    </r>
    <r>
      <rPr>
        <sz val="10"/>
        <color theme="1"/>
        <rFont val="Arial"/>
        <family val="2"/>
      </rPr>
      <t xml:space="preserve">.
Für Betriebe, die Ferkel an Mastbetriebe der Einstiegsstufe liefern, gilt davon abweichend: 
Wenn der Mastbetrieb seit dem 01.01.2018 zertifiziert wurde: Kupieren des Schwanzes um mehr als 1/3 der Schwanzlänge u./o. es wird nicht in mind. einem Wurf der Verzicht auf das Schwanzkupieren erprobt = </t>
    </r>
    <r>
      <rPr>
        <b/>
        <sz val="10"/>
        <color theme="1"/>
        <rFont val="Arial"/>
        <family val="2"/>
      </rPr>
      <t>K.O.</t>
    </r>
  </si>
  <si>
    <t>4. Abferkelbereich</t>
  </si>
  <si>
    <t>5. Sauen vom Absetzen bis zur ersten Besamung nach dem Absetzen</t>
  </si>
  <si>
    <t>6. Tragende Sauen (inklusive möglicher Umrauscher)</t>
  </si>
  <si>
    <r>
      <t xml:space="preserve">7.  Anforderungen für die Haltung von Zuchtläufern </t>
    </r>
    <r>
      <rPr>
        <i/>
        <sz val="10"/>
        <color theme="1"/>
        <rFont val="Arial"/>
        <family val="2"/>
      </rPr>
      <t>(wenn im Umstellungsplan festgehalten ist, dass für Zuchtläufer die Anforderungen aus der Richtlinie Mastschwein (Premiumstufe) gelten)</t>
    </r>
  </si>
  <si>
    <r>
      <t xml:space="preserve">8. Anforderungen für die Haltung von Jungsauen </t>
    </r>
    <r>
      <rPr>
        <i/>
        <sz val="10"/>
        <color theme="1"/>
        <rFont val="Arial"/>
        <family val="2"/>
      </rPr>
      <t>(wenn im Umstellungsplan festgehalten ist, dass für Jungsauen die Anforderungen aus der Richtlinie Mastschwein (Premiumstufe) gelten)</t>
    </r>
  </si>
  <si>
    <t>9. Eber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</si>
</sst>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i/>
      <sz val="10"/>
      <color theme="1"/>
      <name val="Arial"/>
      <family val="2"/>
    </font>
    <font>
      <sz val="10"/>
      <name val="Arial"/>
      <family val="2"/>
    </font>
    <font>
      <sz val="10"/>
      <color theme="1"/>
      <name val="Calibri"/>
      <family val="2"/>
    </font>
    <font>
      <sz val="8"/>
      <name val="Arial"/>
      <family val="2"/>
    </font>
    <font>
      <b/>
      <i/>
      <sz val="10"/>
      <color theme="1"/>
      <name val="Arial"/>
      <family val="2"/>
    </font>
    <font>
      <u/>
      <sz val="10"/>
      <color theme="1"/>
      <name val="Arial"/>
      <family val="2"/>
    </font>
    <font>
      <sz val="10"/>
      <color rgb="FF000000"/>
      <name val="Arial"/>
      <family val="2"/>
    </font>
    <font>
      <sz val="10"/>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7" fillId="4" borderId="12" applyNumberFormat="0" applyAlignment="0" applyProtection="0"/>
  </cellStyleXfs>
  <cellXfs count="199">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1" fillId="0" borderId="0" xfId="0" applyFont="1" applyProtection="1"/>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8" fillId="0" borderId="0" xfId="0" applyFont="1" applyAlignment="1" applyProtection="1">
      <alignment horizontal="left"/>
    </xf>
    <xf numFmtId="0" fontId="8" fillId="0" borderId="4"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0" xfId="0" applyNumberFormat="1" applyFont="1" applyBorder="1" applyAlignment="1" applyProtection="1">
      <alignment horizontal="left" vertical="center"/>
      <protection locked="0"/>
    </xf>
    <xf numFmtId="0" fontId="21" fillId="0" borderId="0" xfId="0" applyFont="1" applyBorder="1" applyAlignment="1" applyProtection="1">
      <alignmen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49" fontId="21" fillId="0" borderId="0"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vertical="center" wrapText="1"/>
    </xf>
    <xf numFmtId="49" fontId="8" fillId="0" borderId="2" xfId="0" applyNumberFormat="1" applyFont="1" applyBorder="1" applyAlignment="1" applyProtection="1">
      <alignment vertical="center" wrapText="1"/>
    </xf>
    <xf numFmtId="49" fontId="8" fillId="0" borderId="3" xfId="0" applyNumberFormat="1" applyFont="1" applyBorder="1" applyAlignment="1" applyProtection="1">
      <alignment vertical="center" wrapText="1"/>
    </xf>
    <xf numFmtId="49" fontId="8" fillId="5" borderId="3" xfId="0" applyNumberFormat="1" applyFont="1" applyFill="1" applyBorder="1" applyAlignment="1" applyProtection="1">
      <alignment vertical="center" wrapText="1"/>
    </xf>
    <xf numFmtId="0" fontId="8" fillId="0" borderId="3" xfId="0" applyFont="1" applyFill="1" applyBorder="1" applyAlignment="1" applyProtection="1">
      <alignment vertical="center" wrapText="1"/>
    </xf>
    <xf numFmtId="49" fontId="8" fillId="0" borderId="6" xfId="0" applyNumberFormat="1" applyFont="1" applyBorder="1" applyAlignment="1" applyProtection="1">
      <alignment vertical="center" wrapText="1"/>
    </xf>
    <xf numFmtId="0" fontId="8" fillId="0" borderId="6" xfId="0" applyFont="1" applyBorder="1" applyAlignment="1" applyProtection="1">
      <alignment vertical="center" wrapText="1"/>
    </xf>
    <xf numFmtId="0" fontId="8" fillId="5" borderId="0" xfId="0" applyFont="1" applyFill="1" applyBorder="1" applyAlignment="1" applyProtection="1">
      <alignment vertical="center" wrapText="1"/>
      <protection locked="0"/>
    </xf>
    <xf numFmtId="49" fontId="8" fillId="5" borderId="0" xfId="0" applyNumberFormat="1" applyFont="1" applyFill="1" applyBorder="1" applyAlignment="1" applyProtection="1">
      <alignment horizontal="left" vertical="center" wrapText="1"/>
      <protection locked="0"/>
    </xf>
    <xf numFmtId="0" fontId="20" fillId="5" borderId="0" xfId="0" applyFont="1" applyFill="1" applyBorder="1" applyAlignment="1" applyProtection="1">
      <alignment vertical="center" wrapText="1"/>
      <protection locked="0"/>
    </xf>
    <xf numFmtId="1" fontId="8" fillId="5" borderId="0" xfId="0" applyNumberFormat="1" applyFont="1" applyFill="1" applyBorder="1" applyAlignment="1" applyProtection="1">
      <alignment horizontal="left" vertical="center"/>
      <protection locked="0"/>
    </xf>
    <xf numFmtId="165" fontId="8" fillId="5" borderId="0" xfId="0" applyNumberFormat="1" applyFont="1" applyFill="1" applyBorder="1" applyAlignment="1" applyProtection="1">
      <alignment horizontal="center" vertical="center"/>
      <protection locked="0"/>
    </xf>
    <xf numFmtId="49" fontId="8" fillId="5" borderId="0" xfId="0" applyNumberFormat="1" applyFont="1" applyFill="1" applyBorder="1" applyAlignment="1" applyProtection="1">
      <alignment vertical="center" wrapText="1"/>
      <protection locked="0"/>
    </xf>
    <xf numFmtId="0" fontId="8" fillId="5"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left" vertical="center" wrapText="1"/>
      <protection locked="0"/>
    </xf>
    <xf numFmtId="0" fontId="8" fillId="5" borderId="0" xfId="0" applyFont="1" applyFill="1" applyProtection="1">
      <protection locked="0"/>
    </xf>
    <xf numFmtId="49" fontId="26" fillId="0" borderId="17" xfId="0" applyNumberFormat="1" applyFont="1" applyBorder="1" applyAlignment="1" applyProtection="1">
      <alignment horizontal="left" vertical="center" wrapText="1"/>
      <protection locked="0"/>
    </xf>
    <xf numFmtId="0" fontId="26" fillId="0" borderId="17" xfId="0" applyFont="1" applyBorder="1" applyAlignment="1" applyProtection="1">
      <alignment vertical="center" wrapText="1"/>
      <protection locked="0"/>
    </xf>
    <xf numFmtId="49" fontId="26" fillId="0" borderId="18" xfId="0" applyNumberFormat="1" applyFont="1" applyBorder="1" applyAlignment="1">
      <alignment horizontal="left" vertical="center" wrapText="1"/>
    </xf>
    <xf numFmtId="0" fontId="26" fillId="0" borderId="19"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8" fillId="6" borderId="2" xfId="0" applyFont="1" applyFill="1" applyBorder="1" applyAlignment="1" applyProtection="1">
      <alignment vertical="center" wrapText="1"/>
    </xf>
    <xf numFmtId="0" fontId="8" fillId="5" borderId="2" xfId="0" applyFont="1" applyFill="1" applyBorder="1" applyAlignment="1" applyProtection="1">
      <alignment vertical="center" wrapText="1"/>
    </xf>
    <xf numFmtId="1" fontId="15" fillId="0" borderId="2" xfId="0" applyNumberFormat="1" applyFont="1" applyBorder="1" applyAlignment="1" applyProtection="1">
      <alignment horizontal="left" vertical="center"/>
      <protection locked="0"/>
    </xf>
    <xf numFmtId="165" fontId="1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protection locked="0"/>
    </xf>
    <xf numFmtId="0" fontId="15" fillId="0" borderId="2" xfId="0" applyFont="1" applyBorder="1" applyAlignment="1" applyProtection="1">
      <alignment horizontal="left" vertical="center" wrapText="1"/>
      <protection locked="0"/>
    </xf>
    <xf numFmtId="165" fontId="8" fillId="0" borderId="2"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center"/>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6" fillId="0" borderId="3" xfId="0" applyFont="1" applyBorder="1" applyAlignment="1" applyProtection="1">
      <alignment horizontal="left"/>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1" xfId="0" applyNumberFormat="1" applyFont="1" applyBorder="1" applyAlignment="1" applyProtection="1">
      <alignment horizontal="left" vertical="center" wrapText="1"/>
      <protection locked="0"/>
    </xf>
    <xf numFmtId="0" fontId="6" fillId="0" borderId="2" xfId="0" applyFont="1" applyBorder="1" applyAlignment="1" applyProtection="1">
      <alignment horizontal="center"/>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2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692">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rgb="FF000000"/>
        </top>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rgb="FF000000"/>
        </top>
        <bottom style="thin">
          <color rgb="FF000000"/>
        </bottom>
      </border>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691"/>
      <tableStyleElement type="headerRow" dxfId="690"/>
      <tableStyleElement type="totalRow" dxfId="689"/>
      <tableStyleElement type="firstColumn" dxfId="688"/>
      <tableStyleElement type="lastColumn" dxfId="687"/>
      <tableStyleElement type="firstRowStripe" dxfId="686"/>
      <tableStyleElement type="secondRowStripe" dxfId="685"/>
      <tableStyleElement type="firstColumnStripe" dxfId="684"/>
      <tableStyleElement type="secondColumnStripe" dxfId="683"/>
    </tableStyle>
    <tableStyle name="TSL_1" pivot="0" count="9">
      <tableStyleElement type="wholeTable" dxfId="682"/>
      <tableStyleElement type="headerRow" dxfId="681"/>
      <tableStyleElement type="totalRow" dxfId="680"/>
      <tableStyleElement type="firstColumn" dxfId="679"/>
      <tableStyleElement type="lastColumn" dxfId="678"/>
      <tableStyleElement type="firstRowStripe" dxfId="677"/>
      <tableStyleElement type="secondRowStripe" dxfId="676"/>
      <tableStyleElement type="firstColumnStripe" dxfId="675"/>
      <tableStyleElement type="secondColumnStripe" dxfId="674"/>
    </tableStyle>
  </tableStyles>
  <colors>
    <mruColors>
      <color rgb="FFFFC000"/>
      <color rgb="FFFFC0FF"/>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19" totalsRowShown="0" headerRowDxfId="635" dataDxfId="634" tableBorderDxfId="633">
  <autoFilter ref="B9:M19"/>
  <tableColumns count="12">
    <tableColumn id="1" name="Lfd. Nr" dataDxfId="632">
      <calculatedColumnFormula>CONCATENATE("1.",Prüfkriterien_1[[#This Row],[Hilfsspalte_Num]])</calculatedColumnFormula>
    </tableColumn>
    <tableColumn id="2" name="Hilfsspalte_Num" dataDxfId="631">
      <calculatedColumnFormula>ROW()-ROW(Prüfkriterien_1[[#Headers],[Hilfsspalte_Kom]])</calculatedColumnFormula>
    </tableColumn>
    <tableColumn id="12" name="Hilfsspalte_Kom" dataDxfId="630">
      <calculatedColumnFormula>(Prüfkriterien_1[Hilfsspalte_Num]+10)/10</calculatedColumnFormula>
    </tableColumn>
    <tableColumn id="3" name="Kapitel_x000a_Richtlinie" dataDxfId="629"/>
    <tableColumn id="4" name="Kriterium" dataDxfId="628"/>
    <tableColumn id="5" name="Erläuterung / _x000a_Durchführungshinweis" dataDxfId="627"/>
    <tableColumn id="6" name="Bewertung" dataDxfId="626"/>
    <tableColumn id="7" name="Spalte1" dataDxfId="625"/>
    <tableColumn id="8" name="Spalte2" dataDxfId="624"/>
    <tableColumn id="9" name="Spalte3" dataDxfId="623"/>
    <tableColumn id="10" name="Spalte4" dataDxfId="622"/>
    <tableColumn id="11" name="Beschreibung" dataDxfId="621"/>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5:M110" totalsRowShown="0" headerRowDxfId="500" dataDxfId="499" tableBorderDxfId="498">
  <autoFilter ref="B105:M110"/>
  <tableColumns count="12">
    <tableColumn id="1" name="Spalte1" dataDxfId="497">
      <calculatedColumnFormula>CONCATENATE("10.",Prüfkriterien_10[[#This Row],[Spalte2]])</calculatedColumnFormula>
    </tableColumn>
    <tableColumn id="2" name="Spalte2" dataDxfId="496">
      <calculatedColumnFormula>ROW()-ROW(Prüfkriterien_10[[#Headers],[Spalte3]])</calculatedColumnFormula>
    </tableColumn>
    <tableColumn id="3" name="Spalte3" dataDxfId="495">
      <calculatedColumnFormula>(Prüfkriterien_10[Spalte2]+100)/10</calculatedColumnFormula>
    </tableColumn>
    <tableColumn id="4" name="Spalte4" dataDxfId="494"/>
    <tableColumn id="5" name="Spalte5" dataDxfId="493"/>
    <tableColumn id="6" name="Spalte6" dataDxfId="492"/>
    <tableColumn id="7" name="Spalte7" dataDxfId="491"/>
    <tableColumn id="8" name="Spalte8" dataDxfId="490"/>
    <tableColumn id="9" name="Spalte9" dataDxfId="489"/>
    <tableColumn id="10" name="Spalte10" dataDxfId="488"/>
    <tableColumn id="11" name="Spalte11" dataDxfId="487"/>
    <tableColumn id="12" name="Spalte12" dataDxfId="486"/>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2:M117" totalsRowShown="0" headerRowDxfId="485" dataDxfId="484" tableBorderDxfId="483">
  <autoFilter ref="B112:M117"/>
  <tableColumns count="12">
    <tableColumn id="1" name="Spalte1" dataDxfId="482">
      <calculatedColumnFormula>CONCATENATE("11.",Prüfkriterien_11[[#This Row],[Spalte2]])</calculatedColumnFormula>
    </tableColumn>
    <tableColumn id="2" name="Spalte2" dataDxfId="481">
      <calculatedColumnFormula>ROW()-ROW(Prüfkriterien_11[[#Headers],[Spalte3]])</calculatedColumnFormula>
    </tableColumn>
    <tableColumn id="3" name="Spalte3" dataDxfId="480">
      <calculatedColumnFormula>(Prüfkriterien_11[Spalte2]+110)/10</calculatedColumnFormula>
    </tableColumn>
    <tableColumn id="4" name="Spalte4" dataDxfId="479"/>
    <tableColumn id="5" name="Spalte5" dataDxfId="478"/>
    <tableColumn id="6" name="Spalte6" dataDxfId="477"/>
    <tableColumn id="7" name="Spalte7" dataDxfId="476"/>
    <tableColumn id="8" name="Spalte8" dataDxfId="475"/>
    <tableColumn id="9" name="Spalte9" dataDxfId="474"/>
    <tableColumn id="10" name="Spalte10" dataDxfId="473"/>
    <tableColumn id="11" name="Spalte11" dataDxfId="472"/>
    <tableColumn id="12" name="Spalte12" dataDxfId="471"/>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19:M124" totalsRowShown="0" headerRowDxfId="470" dataDxfId="469" tableBorderDxfId="468">
  <autoFilter ref="B119:M124"/>
  <tableColumns count="12">
    <tableColumn id="1" name="Spalte1" dataDxfId="467">
      <calculatedColumnFormula>CONCATENATE("12.",Prüfkriterien_1113[[#This Row],[Spalte2]])</calculatedColumnFormula>
    </tableColumn>
    <tableColumn id="2" name="Spalte2" dataDxfId="466">
      <calculatedColumnFormula>ROW()-ROW(Prüfkriterien_1113[[#Headers],[Spalte3]])</calculatedColumnFormula>
    </tableColumn>
    <tableColumn id="3" name="Spalte3" dataDxfId="465">
      <calculatedColumnFormula>(Prüfkriterien_1113[Spalte2]+120)/10</calculatedColumnFormula>
    </tableColumn>
    <tableColumn id="4" name="Spalte4" dataDxfId="464"/>
    <tableColumn id="5" name="Spalte5" dataDxfId="463"/>
    <tableColumn id="6" name="Spalte6" dataDxfId="462"/>
    <tableColumn id="7" name="Spalte7" dataDxfId="461"/>
    <tableColumn id="8" name="Spalte8" dataDxfId="460"/>
    <tableColumn id="9" name="Spalte9" dataDxfId="459"/>
    <tableColumn id="10" name="Spalte10" dataDxfId="458"/>
    <tableColumn id="11" name="Spalte11" dataDxfId="457"/>
    <tableColumn id="12" name="Spalte12" dataDxfId="456"/>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26:M131" totalsRowShown="0" headerRowDxfId="455" dataDxfId="454" tableBorderDxfId="453">
  <autoFilter ref="B126:M131"/>
  <tableColumns count="12">
    <tableColumn id="1" name="Spalte1" dataDxfId="452">
      <calculatedColumnFormula>CONCATENATE("13.",Prüfkriterien_1114[[#This Row],[Spalte2]])</calculatedColumnFormula>
    </tableColumn>
    <tableColumn id="2" name="Spalte2" dataDxfId="451">
      <calculatedColumnFormula>ROW()-ROW(Prüfkriterien_1114[[#Headers],[Spalte3]])</calculatedColumnFormula>
    </tableColumn>
    <tableColumn id="3" name="Spalte3" dataDxfId="450">
      <calculatedColumnFormula>(Prüfkriterien_1114[Spalte2]+130)/10</calculatedColumnFormula>
    </tableColumn>
    <tableColumn id="4" name="Spalte4" dataDxfId="449"/>
    <tableColumn id="5" name="Spalte5" dataDxfId="448"/>
    <tableColumn id="6" name="Spalte6" dataDxfId="447"/>
    <tableColumn id="7" name="Spalte7" dataDxfId="446"/>
    <tableColumn id="8" name="Spalte8" dataDxfId="445"/>
    <tableColumn id="9" name="Spalte9" dataDxfId="444"/>
    <tableColumn id="10" name="Spalte10" dataDxfId="443"/>
    <tableColumn id="11" name="Spalte11" dataDxfId="442"/>
    <tableColumn id="12" name="Spalte12" dataDxfId="441"/>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33:M138" totalsRowShown="0" headerRowDxfId="440" dataDxfId="439" tableBorderDxfId="438">
  <autoFilter ref="B133:M138"/>
  <tableColumns count="12">
    <tableColumn id="1" name="Spalte1" dataDxfId="437">
      <calculatedColumnFormula>CONCATENATE("14.",Prüfkriterien_1115[[#This Row],[Spalte2]])</calculatedColumnFormula>
    </tableColumn>
    <tableColumn id="2" name="Spalte2" dataDxfId="436">
      <calculatedColumnFormula>ROW()-ROW(Prüfkriterien_1115[[#Headers],[Spalte3]])</calculatedColumnFormula>
    </tableColumn>
    <tableColumn id="3" name="Spalte3" dataDxfId="435">
      <calculatedColumnFormula>(Prüfkriterien_1115[Spalte2]+140)/10</calculatedColumnFormula>
    </tableColumn>
    <tableColumn id="4" name="Spalte4" dataDxfId="434"/>
    <tableColumn id="5" name="Spalte5" dataDxfId="433"/>
    <tableColumn id="6" name="Spalte6" dataDxfId="432"/>
    <tableColumn id="7" name="Spalte7" dataDxfId="431"/>
    <tableColumn id="8" name="Spalte8" dataDxfId="430"/>
    <tableColumn id="9" name="Spalte9" dataDxfId="429"/>
    <tableColumn id="10" name="Spalte10" dataDxfId="428"/>
    <tableColumn id="11" name="Spalte11" dataDxfId="427"/>
    <tableColumn id="12" name="Spalte12" dataDxfId="426"/>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40:M145" totalsRowShown="0" headerRowDxfId="425" dataDxfId="424" tableBorderDxfId="423">
  <autoFilter ref="B140:M145"/>
  <tableColumns count="12">
    <tableColumn id="1" name="Spalte1" dataDxfId="422">
      <calculatedColumnFormula>CONCATENATE("15.",Prüfkriterien_1116[[#This Row],[Spalte2]])</calculatedColumnFormula>
    </tableColumn>
    <tableColumn id="2" name="Spalte2" dataDxfId="421">
      <calculatedColumnFormula>ROW()-ROW(Prüfkriterien_1116[[#Headers],[Spalte3]])</calculatedColumnFormula>
    </tableColumn>
    <tableColumn id="3" name="Spalte3" dataDxfId="420">
      <calculatedColumnFormula>(Prüfkriterien_1116[Spalte2]+150)/10</calculatedColumnFormula>
    </tableColumn>
    <tableColumn id="4" name="Spalte4" dataDxfId="419"/>
    <tableColumn id="5" name="Spalte5" dataDxfId="418"/>
    <tableColumn id="6" name="Spalte6" dataDxfId="417"/>
    <tableColumn id="7" name="Spalte7" dataDxfId="416"/>
    <tableColumn id="8" name="Spalte8" dataDxfId="415"/>
    <tableColumn id="9" name="Spalte9" dataDxfId="414"/>
    <tableColumn id="10" name="Spalte10" dataDxfId="413"/>
    <tableColumn id="11" name="Spalte11" dataDxfId="412"/>
    <tableColumn id="12" name="Spalte12" dataDxfId="411"/>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47:M152" totalsRowShown="0" headerRowDxfId="410" dataDxfId="409" tableBorderDxfId="408">
  <autoFilter ref="B147:M152"/>
  <tableColumns count="12">
    <tableColumn id="1" name="Spalte1" dataDxfId="407">
      <calculatedColumnFormula>CONCATENATE("16.",Prüfkriterien_1117[[#This Row],[Spalte2]])</calculatedColumnFormula>
    </tableColumn>
    <tableColumn id="2" name="Spalte2" dataDxfId="406">
      <calculatedColumnFormula>ROW()-ROW(Prüfkriterien_1117[[#Headers],[Spalte3]])</calculatedColumnFormula>
    </tableColumn>
    <tableColumn id="3" name="Spalte3" dataDxfId="405">
      <calculatedColumnFormula>(Prüfkriterien_1117[Spalte2]+160)/10</calculatedColumnFormula>
    </tableColumn>
    <tableColumn id="4" name="Spalte4" dataDxfId="404"/>
    <tableColumn id="5" name="Spalte5" dataDxfId="403"/>
    <tableColumn id="6" name="Spalte6" dataDxfId="402"/>
    <tableColumn id="7" name="Spalte7" dataDxfId="401"/>
    <tableColumn id="8" name="Spalte8" dataDxfId="400"/>
    <tableColumn id="9" name="Spalte9" dataDxfId="399"/>
    <tableColumn id="10" name="Spalte10" dataDxfId="398"/>
    <tableColumn id="11" name="Spalte11" dataDxfId="397"/>
    <tableColumn id="12" name="Spalte12" dataDxfId="396"/>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54:M159" totalsRowShown="0" headerRowDxfId="395" dataDxfId="394" tableBorderDxfId="393">
  <autoFilter ref="B154:M159"/>
  <tableColumns count="12">
    <tableColumn id="1" name="Spalte1" dataDxfId="392">
      <calculatedColumnFormula>CONCATENATE("17.",Prüfkriterien_1118[[#This Row],[Spalte2]])</calculatedColumnFormula>
    </tableColumn>
    <tableColumn id="2" name="Spalte2" dataDxfId="391">
      <calculatedColumnFormula>ROW()-ROW(Prüfkriterien_1118[[#Headers],[Spalte3]])</calculatedColumnFormula>
    </tableColumn>
    <tableColumn id="3" name="Spalte3" dataDxfId="390">
      <calculatedColumnFormula>(Prüfkriterien_1118[Spalte2]+170)/10</calculatedColumnFormula>
    </tableColumn>
    <tableColumn id="4" name="Spalte4" dataDxfId="389"/>
    <tableColumn id="5" name="Spalte5" dataDxfId="388"/>
    <tableColumn id="6" name="Spalte6" dataDxfId="387"/>
    <tableColumn id="7" name="Spalte7" dataDxfId="386"/>
    <tableColumn id="8" name="Spalte8" dataDxfId="385"/>
    <tableColumn id="9" name="Spalte9" dataDxfId="384"/>
    <tableColumn id="10" name="Spalte10" dataDxfId="383"/>
    <tableColumn id="11" name="Spalte11" dataDxfId="382"/>
    <tableColumn id="12" name="Spalte12" dataDxfId="381"/>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61:M166" totalsRowShown="0" headerRowDxfId="380" dataDxfId="379" tableBorderDxfId="378">
  <autoFilter ref="B161:M166"/>
  <tableColumns count="12">
    <tableColumn id="1" name="Spalte1" dataDxfId="377">
      <calculatedColumnFormula>CONCATENATE("18.",Prüfkriterien_1119[[#This Row],[Spalte2]])</calculatedColumnFormula>
    </tableColumn>
    <tableColumn id="2" name="Spalte2" dataDxfId="376">
      <calculatedColumnFormula>ROW()-ROW(Prüfkriterien_1119[[#Headers],[Spalte3]])</calculatedColumnFormula>
    </tableColumn>
    <tableColumn id="3" name="Spalte3" dataDxfId="375">
      <calculatedColumnFormula>(Prüfkriterien_1119[Spalte2]+180)/10</calculatedColumnFormula>
    </tableColumn>
    <tableColumn id="4" name="Spalte4" dataDxfId="374"/>
    <tableColumn id="5" name="Spalte5" dataDxfId="373"/>
    <tableColumn id="6" name="Spalte6" dataDxfId="372"/>
    <tableColumn id="7" name="Spalte7" dataDxfId="371"/>
    <tableColumn id="8" name="Spalte8" dataDxfId="370"/>
    <tableColumn id="9" name="Spalte9" dataDxfId="369"/>
    <tableColumn id="10" name="Spalte10" dataDxfId="368"/>
    <tableColumn id="11" name="Spalte11" dataDxfId="367"/>
    <tableColumn id="12" name="Spalte12" dataDxfId="366"/>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68:M173" totalsRowShown="0" headerRowDxfId="365" dataDxfId="364" tableBorderDxfId="363">
  <autoFilter ref="B168:M173"/>
  <tableColumns count="12">
    <tableColumn id="1" name="Spalte1" dataDxfId="362">
      <calculatedColumnFormula>CONCATENATE("19.",Prüfkriterien_1120[[#This Row],[Spalte2]])</calculatedColumnFormula>
    </tableColumn>
    <tableColumn id="2" name="Spalte2" dataDxfId="361">
      <calculatedColumnFormula>ROW()-ROW(Prüfkriterien_1120[[#Headers],[Spalte3]])</calculatedColumnFormula>
    </tableColumn>
    <tableColumn id="3" name="Spalte3" dataDxfId="360">
      <calculatedColumnFormula>(Prüfkriterien_1120[Spalte2]+190)/10</calculatedColumnFormula>
    </tableColumn>
    <tableColumn id="4" name="Spalte4" dataDxfId="359"/>
    <tableColumn id="5" name="Spalte5" dataDxfId="358"/>
    <tableColumn id="6" name="Spalte6" dataDxfId="357"/>
    <tableColumn id="7" name="Spalte7" dataDxfId="356"/>
    <tableColumn id="8" name="Spalte8" dataDxfId="355"/>
    <tableColumn id="9" name="Spalte9" dataDxfId="354"/>
    <tableColumn id="10" name="Spalte10" dataDxfId="353"/>
    <tableColumn id="11" name="Spalte11" dataDxfId="352"/>
    <tableColumn id="12" name="Spalte12" dataDxfId="351"/>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1:M44" totalsRowShown="0" headerRowDxfId="620" dataDxfId="619" tableBorderDxfId="618">
  <autoFilter ref="B21:M44"/>
  <tableColumns count="12">
    <tableColumn id="1" name="Spalte1" dataDxfId="617">
      <calculatedColumnFormula>CONCATENATE("2.",Prüfkriterien_2[[#This Row],[Spalte2]])</calculatedColumnFormula>
    </tableColumn>
    <tableColumn id="2" name="Spalte2" dataDxfId="616">
      <calculatedColumnFormula>ROW()-ROW(Prüfkriterien_2[[#Headers],[Spalte3]])</calculatedColumnFormula>
    </tableColumn>
    <tableColumn id="3" name="Spalte3" dataDxfId="615">
      <calculatedColumnFormula>(Prüfkriterien_2[[#This Row],[Spalte2]]+20)/10</calculatedColumnFormula>
    </tableColumn>
    <tableColumn id="4" name="Spalte4" dataDxfId="614"/>
    <tableColumn id="5" name="Spalte5" dataDxfId="613"/>
    <tableColumn id="6" name="Spalte6" dataDxfId="612"/>
    <tableColumn id="7" name="Spalte7" dataDxfId="611"/>
    <tableColumn id="8" name="Spalte8" dataDxfId="610"/>
    <tableColumn id="9" name="Spalte9" dataDxfId="609"/>
    <tableColumn id="10" name="Spalte10" dataDxfId="608"/>
    <tableColumn id="11" name="Spalte11" dataDxfId="607"/>
    <tableColumn id="12" name="Spalte12" dataDxfId="606"/>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75:M180" totalsRowShown="0" headerRowDxfId="350" dataDxfId="349" tableBorderDxfId="348">
  <autoFilter ref="B175:M180"/>
  <tableColumns count="12">
    <tableColumn id="1" name="Spalte1" dataDxfId="347">
      <calculatedColumnFormula>CONCATENATE("20.",Prüfkriterien_1121[[#This Row],[Spalte2]])</calculatedColumnFormula>
    </tableColumn>
    <tableColumn id="2" name="Spalte2" dataDxfId="346">
      <calculatedColumnFormula>ROW()-ROW(Prüfkriterien_1121[[#Headers],[Spalte3]])</calculatedColumnFormula>
    </tableColumn>
    <tableColumn id="3" name="Spalte3" dataDxfId="345">
      <calculatedColumnFormula>(Prüfkriterien_1121[Spalte2]+200)/10</calculatedColumnFormula>
    </tableColumn>
    <tableColumn id="4" name="Spalte4" dataDxfId="344"/>
    <tableColumn id="5" name="Spalte5" dataDxfId="343"/>
    <tableColumn id="6" name="Spalte6" dataDxfId="342"/>
    <tableColumn id="7" name="Spalte7" dataDxfId="341"/>
    <tableColumn id="8" name="Spalte8" dataDxfId="340"/>
    <tableColumn id="9" name="Spalte9" dataDxfId="339"/>
    <tableColumn id="10" name="Spalte10" dataDxfId="338"/>
    <tableColumn id="11" name="Spalte11" dataDxfId="337"/>
    <tableColumn id="12" name="Spalte12" dataDxfId="336"/>
  </tableColumns>
  <tableStyleInfo name="TSL_1" showFirstColumn="0" showLastColumn="0" showRowStripes="1" showColumnStripes="0"/>
</table>
</file>

<file path=xl/tables/table21.xml><?xml version="1.0" encoding="utf-8"?>
<table xmlns="http://schemas.openxmlformats.org/spreadsheetml/2006/main" id="41" name="Prüfkriterien_142" displayName="Prüfkriterien_142" ref="B9:M17" totalsRowShown="0" headerRowDxfId="299" dataDxfId="298" tableBorderDxfId="297">
  <autoFilter ref="B9:M17"/>
  <tableColumns count="12">
    <tableColumn id="1" name="Lfd. Nr" dataDxfId="296">
      <calculatedColumnFormula>CONCATENATE("1.",Prüfkriterien_142[[#This Row],[Hilfsspalte_Num]])</calculatedColumnFormula>
    </tableColumn>
    <tableColumn id="2" name="Hilfsspalte_Num" dataDxfId="295">
      <calculatedColumnFormula>ROW()-ROW(Prüfkriterien_142[[#Headers],[Hilfsspalte_Kom]])</calculatedColumnFormula>
    </tableColumn>
    <tableColumn id="12" name="Hilfsspalte_Kom" dataDxfId="294">
      <calculatedColumnFormula>(Prüfkriterien_142[Hilfsspalte_Num]+10)/10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22.xml><?xml version="1.0" encoding="utf-8"?>
<table xmlns="http://schemas.openxmlformats.org/spreadsheetml/2006/main" id="42" name="Prüfkriterien_243" displayName="Prüfkriterien_243" ref="B19:M30" totalsRowShown="0" headerRowDxfId="284" dataDxfId="283" tableBorderDxfId="282">
  <autoFilter ref="B19:M30"/>
  <tableColumns count="12">
    <tableColumn id="1" name="Spalte1" dataDxfId="281">
      <calculatedColumnFormula>CONCATENATE("2.",Prüfkriterien_243[[#This Row],[Spalte2]])</calculatedColumnFormula>
    </tableColumn>
    <tableColumn id="2" name="Spalte2" dataDxfId="280">
      <calculatedColumnFormula>ROW()-ROW(Prüfkriterien_243[[#Headers],[Spalte3]])</calculatedColumnFormula>
    </tableColumn>
    <tableColumn id="3" name="Spalte3" dataDxfId="279">
      <calculatedColumnFormula>(Prüfkriterien_243[[#This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3.xml><?xml version="1.0" encoding="utf-8"?>
<table xmlns="http://schemas.openxmlformats.org/spreadsheetml/2006/main" id="43" name="Prüfkriterien_344" displayName="Prüfkriterien_344" ref="B32:M43" totalsRowShown="0" headerRowDxfId="269" dataDxfId="268" tableBorderDxfId="267">
  <autoFilter ref="B32:M43"/>
  <tableColumns count="12">
    <tableColumn id="1" name="Spalte1" dataDxfId="266">
      <calculatedColumnFormula>CONCATENATE("3.",Prüfkriterien_344[[#This Row],[Spalte2]])</calculatedColumnFormula>
    </tableColumn>
    <tableColumn id="2" name="Spalte2" dataDxfId="265">
      <calculatedColumnFormula>ROW()-ROW(Prüfkriterien_344[[#Headers],[Spalte3]])</calculatedColumnFormula>
    </tableColumn>
    <tableColumn id="3" name="Spalte3" dataDxfId="264">
      <calculatedColumnFormula>(Prüfkriterien_344[[#This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24.xml><?xml version="1.0" encoding="utf-8"?>
<table xmlns="http://schemas.openxmlformats.org/spreadsheetml/2006/main" id="44" name="Prüfkriterien_445" displayName="Prüfkriterien_445" ref="B45:M78" totalsRowShown="0" headerRowDxfId="254" dataDxfId="253" tableBorderDxfId="252">
  <autoFilter ref="B45:M78"/>
  <tableColumns count="12">
    <tableColumn id="1" name="Spalte1" dataDxfId="251">
      <calculatedColumnFormula>CONCATENATE("4.",Prüfkriterien_445[[#This Row],[Spalte2]])</calculatedColumnFormula>
    </tableColumn>
    <tableColumn id="2" name="Spalte2" dataDxfId="250">
      <calculatedColumnFormula>ROW()-ROW(Prüfkriterien_445[[#Headers],[Spalte3]])</calculatedColumnFormula>
    </tableColumn>
    <tableColumn id="3" name="Spalte3" dataDxfId="249">
      <calculatedColumnFormula>(Prüfkriterien_445[Spalte2]+40)/10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25.xml><?xml version="1.0" encoding="utf-8"?>
<table xmlns="http://schemas.openxmlformats.org/spreadsheetml/2006/main" id="45" name="Prüfkriterien_546" displayName="Prüfkriterien_546" ref="B80:M113" totalsRowShown="0" headerRowDxfId="239" dataDxfId="238" tableBorderDxfId="237">
  <autoFilter ref="B80:M113"/>
  <tableColumns count="12">
    <tableColumn id="1" name="Spalte1" dataDxfId="236">
      <calculatedColumnFormula>CONCATENATE("5.",Prüfkriterien_546[[#This Row],[Spalte2]])</calculatedColumnFormula>
    </tableColumn>
    <tableColumn id="2" name="Spalte2" dataDxfId="235">
      <calculatedColumnFormula>ROW()-ROW(Prüfkriterien_546[[#Headers],[Spalte3]])</calculatedColumnFormula>
    </tableColumn>
    <tableColumn id="3" name="Spalte3" dataDxfId="234">
      <calculatedColumnFormula>(Prüfkriterien_546[Spalte2]+50)/10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26.xml><?xml version="1.0" encoding="utf-8"?>
<table xmlns="http://schemas.openxmlformats.org/spreadsheetml/2006/main" id="46" name="Prüfkriterien_647" displayName="Prüfkriterien_647" ref="B115:M120" totalsRowShown="0" headerRowDxfId="224" dataDxfId="223" tableBorderDxfId="222">
  <autoFilter ref="B115:M120"/>
  <tableColumns count="12">
    <tableColumn id="1" name="Spalte1" dataDxfId="221">
      <calculatedColumnFormula>CONCATENATE("6.",Prüfkriterien_647[[#This Row],[Spalte2]])</calculatedColumnFormula>
    </tableColumn>
    <tableColumn id="2" name="Spalte2" dataDxfId="220">
      <calculatedColumnFormula>ROW()-ROW(Prüfkriterien_647[[#Headers],[Spalte3]])</calculatedColumnFormula>
    </tableColumn>
    <tableColumn id="3" name="Spalte3" dataDxfId="219">
      <calculatedColumnFormula>(Prüfkriterien_647[Spalte2]+60)/10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27.xml><?xml version="1.0" encoding="utf-8"?>
<table xmlns="http://schemas.openxmlformats.org/spreadsheetml/2006/main" id="47" name="Prüfkriterien_748" displayName="Prüfkriterien_748" ref="B122:M127" totalsRowShown="0" headerRowDxfId="209" dataDxfId="208" tableBorderDxfId="207">
  <autoFilter ref="B122:M127"/>
  <tableColumns count="12">
    <tableColumn id="1" name="Spalte1" dataDxfId="206">
      <calculatedColumnFormula>CONCATENATE("7.",Prüfkriterien_748[[#This Row],[Spalte2]])</calculatedColumnFormula>
    </tableColumn>
    <tableColumn id="2" name="Spalte2" dataDxfId="205">
      <calculatedColumnFormula>ROW()-ROW(Prüfkriterien_748[[#Headers],[Spalte3]])</calculatedColumnFormula>
    </tableColumn>
    <tableColumn id="3" name="Spalte3" dataDxfId="204">
      <calculatedColumnFormula>(Prüfkriterien_748[Spalte2]+70)/10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28.xml><?xml version="1.0" encoding="utf-8"?>
<table xmlns="http://schemas.openxmlformats.org/spreadsheetml/2006/main" id="48" name="Prüfkriterien_849" displayName="Prüfkriterien_849" ref="B129:M134" totalsRowShown="0" headerRowDxfId="194" dataDxfId="193" tableBorderDxfId="192">
  <autoFilter ref="B129:M134"/>
  <tableColumns count="12">
    <tableColumn id="1" name="Spalte1" dataDxfId="191">
      <calculatedColumnFormula>CONCATENATE("8.",Prüfkriterien_849[[#This Row],[Spalte2]])</calculatedColumnFormula>
    </tableColumn>
    <tableColumn id="2" name="Spalte2" dataDxfId="190">
      <calculatedColumnFormula>ROW()-ROW(Prüfkriterien_849[[#Headers],[Spalte3]])</calculatedColumnFormula>
    </tableColumn>
    <tableColumn id="3" name="Spalte3" dataDxfId="189">
      <calculatedColumnFormula>(Prüfkriterien_849[Spalte2]+80)/10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29.xml><?xml version="1.0" encoding="utf-8"?>
<table xmlns="http://schemas.openxmlformats.org/spreadsheetml/2006/main" id="49" name="Prüfkriterien_950" displayName="Prüfkriterien_950" ref="B136:M141" totalsRowShown="0" headerRowDxfId="179" dataDxfId="178" tableBorderDxfId="177">
  <autoFilter ref="B136:M141"/>
  <tableColumns count="12">
    <tableColumn id="1" name="Spalte1" dataDxfId="176">
      <calculatedColumnFormula>CONCATENATE("9.",Prüfkriterien_950[[#This Row],[Spalte2]])</calculatedColumnFormula>
    </tableColumn>
    <tableColumn id="2" name="Spalte2" dataDxfId="175">
      <calculatedColumnFormula>ROW()-ROW(Prüfkriterien_950[[#Headers],[Spalte3]])</calculatedColumnFormula>
    </tableColumn>
    <tableColumn id="3" name="Spalte3" dataDxfId="174">
      <calculatedColumnFormula>(Prüfkriterien_950[Spalte2]+90)/10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6:M61" totalsRowShown="0" headerRowDxfId="605" dataDxfId="604" tableBorderDxfId="603">
  <autoFilter ref="B46:M61"/>
  <tableColumns count="12">
    <tableColumn id="1" name="Spalte1" dataDxfId="602">
      <calculatedColumnFormula>CONCATENATE("3.",Prüfkriterien_3[[#This Row],[Spalte2]])</calculatedColumnFormula>
    </tableColumn>
    <tableColumn id="2" name="Spalte2" dataDxfId="601">
      <calculatedColumnFormula>ROW()-ROW(Prüfkriterien_3[[#Headers],[Spalte3]])</calculatedColumnFormula>
    </tableColumn>
    <tableColumn id="3" name="Spalte3" dataDxfId="600">
      <calculatedColumnFormula>(Prüfkriterien_3[[#This Row],[Spalte2]]+30)/10</calculatedColumnFormula>
    </tableColumn>
    <tableColumn id="4" name="Spalte4" dataDxfId="599"/>
    <tableColumn id="5" name="Spalte5" dataDxfId="598"/>
    <tableColumn id="6" name="Spalte6" dataDxfId="597"/>
    <tableColumn id="7" name="Spalte7" dataDxfId="596"/>
    <tableColumn id="8" name="Spalte8" dataDxfId="595"/>
    <tableColumn id="9" name="Spalte9" dataDxfId="594"/>
    <tableColumn id="10" name="Spalte10" dataDxfId="593"/>
    <tableColumn id="11" name="Spalte11" dataDxfId="592"/>
    <tableColumn id="12" name="Spalte12" dataDxfId="591"/>
  </tableColumns>
  <tableStyleInfo name="TSL_1" showFirstColumn="0" showLastColumn="0" showRowStripes="1" showColumnStripes="0"/>
</table>
</file>

<file path=xl/tables/table30.xml><?xml version="1.0" encoding="utf-8"?>
<table xmlns="http://schemas.openxmlformats.org/spreadsheetml/2006/main" id="50" name="Prüfkriterien_1051" displayName="Prüfkriterien_1051" ref="B143:M148" totalsRowShown="0" headerRowDxfId="164" dataDxfId="163" tableBorderDxfId="162">
  <autoFilter ref="B143:M148"/>
  <tableColumns count="12">
    <tableColumn id="1" name="Spalte1" dataDxfId="161">
      <calculatedColumnFormula>CONCATENATE("10.",Prüfkriterien_1051[[#This Row],[Spalte2]])</calculatedColumnFormula>
    </tableColumn>
    <tableColumn id="2" name="Spalte2" dataDxfId="160">
      <calculatedColumnFormula>ROW()-ROW(Prüfkriterien_1051[[#Headers],[Spalte3]])</calculatedColumnFormula>
    </tableColumn>
    <tableColumn id="3" name="Spalte3" dataDxfId="159">
      <calculatedColumnFormula>(Prüfkriterien_1051[Spalte2]+100)/10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31.xml><?xml version="1.0" encoding="utf-8"?>
<table xmlns="http://schemas.openxmlformats.org/spreadsheetml/2006/main" id="51" name="Prüfkriterien_1152" displayName="Prüfkriterien_1152" ref="B150:M155" totalsRowShown="0" headerRowDxfId="149" dataDxfId="148" tableBorderDxfId="147">
  <autoFilter ref="B150:M155"/>
  <tableColumns count="12">
    <tableColumn id="1" name="Spalte1" dataDxfId="146">
      <calculatedColumnFormula>CONCATENATE("11.",Prüfkriterien_1152[[#This Row],[Spalte2]])</calculatedColumnFormula>
    </tableColumn>
    <tableColumn id="2" name="Spalte2" dataDxfId="145">
      <calculatedColumnFormula>ROW()-ROW(Prüfkriterien_1152[[#Headers],[Spalte3]])</calculatedColumnFormula>
    </tableColumn>
    <tableColumn id="3" name="Spalte3" dataDxfId="144">
      <calculatedColumnFormula>(Prüfkriterien_1152[Spalte2]+110)/10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2.xml><?xml version="1.0" encoding="utf-8"?>
<table xmlns="http://schemas.openxmlformats.org/spreadsheetml/2006/main" id="52" name="Prüfkriterien_111353" displayName="Prüfkriterien_111353" ref="B157:M162" totalsRowShown="0" headerRowDxfId="134" dataDxfId="133" tableBorderDxfId="132">
  <autoFilter ref="B157:M162"/>
  <tableColumns count="12">
    <tableColumn id="1" name="Spalte1" dataDxfId="131">
      <calculatedColumnFormula>CONCATENATE("12.",Prüfkriterien_111353[[#This Row],[Spalte2]])</calculatedColumnFormula>
    </tableColumn>
    <tableColumn id="2" name="Spalte2" dataDxfId="130">
      <calculatedColumnFormula>ROW()-ROW(Prüfkriterien_111353[[#Headers],[Spalte3]])</calculatedColumnFormula>
    </tableColumn>
    <tableColumn id="3" name="Spalte3" dataDxfId="129">
      <calculatedColumnFormula>(Prüfkriterien_111353[Spalte2]+120)/10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33.xml><?xml version="1.0" encoding="utf-8"?>
<table xmlns="http://schemas.openxmlformats.org/spreadsheetml/2006/main" id="53" name="Prüfkriterien_111454" displayName="Prüfkriterien_111454" ref="B164:M169" totalsRowShown="0" headerRowDxfId="119" dataDxfId="118" tableBorderDxfId="117">
  <autoFilter ref="B164:M169"/>
  <tableColumns count="12">
    <tableColumn id="1" name="Spalte1" dataDxfId="116">
      <calculatedColumnFormula>CONCATENATE("13.",Prüfkriterien_111454[[#This Row],[Spalte2]])</calculatedColumnFormula>
    </tableColumn>
    <tableColumn id="2" name="Spalte2" dataDxfId="115">
      <calculatedColumnFormula>ROW()-ROW(Prüfkriterien_111454[[#Headers],[Spalte3]])</calculatedColumnFormula>
    </tableColumn>
    <tableColumn id="3" name="Spalte3" dataDxfId="114">
      <calculatedColumnFormula>(Prüfkriterien_111454[Spalte2]+130)/10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34.xml><?xml version="1.0" encoding="utf-8"?>
<table xmlns="http://schemas.openxmlformats.org/spreadsheetml/2006/main" id="54" name="Prüfkriterien_111555" displayName="Prüfkriterien_111555" ref="B171:M176" totalsRowShown="0" headerRowDxfId="104" dataDxfId="103" tableBorderDxfId="102">
  <autoFilter ref="B171:M176"/>
  <tableColumns count="12">
    <tableColumn id="1" name="Spalte1" dataDxfId="101">
      <calculatedColumnFormula>CONCATENATE("14.",Prüfkriterien_111555[[#This Row],[Spalte2]])</calculatedColumnFormula>
    </tableColumn>
    <tableColumn id="2" name="Spalte2" dataDxfId="100">
      <calculatedColumnFormula>ROW()-ROW(Prüfkriterien_111555[[#Headers],[Spalte3]])</calculatedColumnFormula>
    </tableColumn>
    <tableColumn id="3" name="Spalte3" dataDxfId="99">
      <calculatedColumnFormula>(Prüfkriterien_111555[Spalte2]+140)/10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35.xml><?xml version="1.0" encoding="utf-8"?>
<table xmlns="http://schemas.openxmlformats.org/spreadsheetml/2006/main" id="55" name="Prüfkriterien_111656" displayName="Prüfkriterien_111656" ref="B178:M183" totalsRowShown="0" headerRowDxfId="89" dataDxfId="88" tableBorderDxfId="87">
  <autoFilter ref="B178:M183"/>
  <tableColumns count="12">
    <tableColumn id="1" name="Spalte1" dataDxfId="86">
      <calculatedColumnFormula>CONCATENATE("15.",Prüfkriterien_111656[[#This Row],[Spalte2]])</calculatedColumnFormula>
    </tableColumn>
    <tableColumn id="2" name="Spalte2" dataDxfId="85">
      <calculatedColumnFormula>ROW()-ROW(Prüfkriterien_111656[[#Headers],[Spalte3]])</calculatedColumnFormula>
    </tableColumn>
    <tableColumn id="3" name="Spalte3" dataDxfId="84">
      <calculatedColumnFormula>(Prüfkriterien_111656[Spalte2]+150)/10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36.xml><?xml version="1.0" encoding="utf-8"?>
<table xmlns="http://schemas.openxmlformats.org/spreadsheetml/2006/main" id="56" name="Prüfkriterien_111757" displayName="Prüfkriterien_111757" ref="B185:M190" totalsRowShown="0" headerRowDxfId="74" dataDxfId="73" tableBorderDxfId="72">
  <autoFilter ref="B185:M190"/>
  <tableColumns count="12">
    <tableColumn id="1" name="Spalte1" dataDxfId="71">
      <calculatedColumnFormula>CONCATENATE("16.",Prüfkriterien_111757[[#This Row],[Spalte2]])</calculatedColumnFormula>
    </tableColumn>
    <tableColumn id="2" name="Spalte2" dataDxfId="70">
      <calculatedColumnFormula>ROW()-ROW(Prüfkriterien_111757[[#Headers],[Spalte3]])</calculatedColumnFormula>
    </tableColumn>
    <tableColumn id="3" name="Spalte3" dataDxfId="69">
      <calculatedColumnFormula>(Prüfkriterien_111757[Spalte2]+160)/10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37.xml><?xml version="1.0" encoding="utf-8"?>
<table xmlns="http://schemas.openxmlformats.org/spreadsheetml/2006/main" id="57" name="Prüfkriterien_111858" displayName="Prüfkriterien_111858" ref="B192:M197" totalsRowShown="0" headerRowDxfId="59" dataDxfId="58" tableBorderDxfId="57">
  <autoFilter ref="B192:M197"/>
  <tableColumns count="12">
    <tableColumn id="1" name="Spalte1" dataDxfId="56">
      <calculatedColumnFormula>CONCATENATE("17.",Prüfkriterien_111858[[#This Row],[Spalte2]])</calculatedColumnFormula>
    </tableColumn>
    <tableColumn id="2" name="Spalte2" dataDxfId="55">
      <calculatedColumnFormula>ROW()-ROW(Prüfkriterien_111858[[#Headers],[Spalte3]])</calculatedColumnFormula>
    </tableColumn>
    <tableColumn id="3" name="Spalte3" dataDxfId="54">
      <calculatedColumnFormula>(Prüfkriterien_111858[Spalte2]+170)/10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38.xml><?xml version="1.0" encoding="utf-8"?>
<table xmlns="http://schemas.openxmlformats.org/spreadsheetml/2006/main" id="58" name="Prüfkriterien_111959" displayName="Prüfkriterien_111959" ref="B199:M204" totalsRowShown="0" headerRowDxfId="44" dataDxfId="43" tableBorderDxfId="42">
  <autoFilter ref="B199:M204"/>
  <tableColumns count="12">
    <tableColumn id="1" name="Spalte1" dataDxfId="41">
      <calculatedColumnFormula>CONCATENATE("18.",Prüfkriterien_111959[[#This Row],[Spalte2]])</calculatedColumnFormula>
    </tableColumn>
    <tableColumn id="2" name="Spalte2" dataDxfId="40">
      <calculatedColumnFormula>ROW()-ROW(Prüfkriterien_111959[[#Headers],[Spalte3]])</calculatedColumnFormula>
    </tableColumn>
    <tableColumn id="3" name="Spalte3" dataDxfId="39">
      <calculatedColumnFormula>(Prüfkriterien_111959[Spalte2]+180)/10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39.xml><?xml version="1.0" encoding="utf-8"?>
<table xmlns="http://schemas.openxmlformats.org/spreadsheetml/2006/main" id="59" name="Prüfkriterien_112060" displayName="Prüfkriterien_112060" ref="B206:M211" totalsRowShown="0" headerRowDxfId="29" dataDxfId="28" tableBorderDxfId="27">
  <autoFilter ref="B206:M211"/>
  <tableColumns count="12">
    <tableColumn id="1" name="Spalte1" dataDxfId="26">
      <calculatedColumnFormula>CONCATENATE("19.",Prüfkriterien_112060[[#This Row],[Spalte2]])</calculatedColumnFormula>
    </tableColumn>
    <tableColumn id="2" name="Spalte2" dataDxfId="25">
      <calculatedColumnFormula>ROW()-ROW(Prüfkriterien_112060[[#Headers],[Spalte3]])</calculatedColumnFormula>
    </tableColumn>
    <tableColumn id="3" name="Spalte3" dataDxfId="24">
      <calculatedColumnFormula>(Prüfkriterien_112060[Spalte2]+190)/10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3:M68" totalsRowShown="0" headerRowDxfId="590" dataDxfId="589" tableBorderDxfId="588">
  <autoFilter ref="B63:M68"/>
  <tableColumns count="12">
    <tableColumn id="1" name="Spalte1" dataDxfId="587">
      <calculatedColumnFormula>CONCATENATE("4.",Prüfkriterien_4[[#This Row],[Spalte2]])</calculatedColumnFormula>
    </tableColumn>
    <tableColumn id="2" name="Spalte2" dataDxfId="586">
      <calculatedColumnFormula>ROW()-ROW(Prüfkriterien_4[[#Headers],[Spalte3]])</calculatedColumnFormula>
    </tableColumn>
    <tableColumn id="3" name="Spalte3" dataDxfId="585">
      <calculatedColumnFormula>(Prüfkriterien_4[Spalte2]+40)/10</calculatedColumnFormula>
    </tableColumn>
    <tableColumn id="4" name="Spalte4" dataDxfId="584"/>
    <tableColumn id="5" name="Spalte5" dataDxfId="583"/>
    <tableColumn id="6" name="Spalte6" dataDxfId="582"/>
    <tableColumn id="7" name="Spalte7" dataDxfId="581"/>
    <tableColumn id="8" name="Spalte8" dataDxfId="580"/>
    <tableColumn id="9" name="Spalte9" dataDxfId="579"/>
    <tableColumn id="10" name="Spalte10" dataDxfId="578"/>
    <tableColumn id="11" name="Spalte11" dataDxfId="577"/>
    <tableColumn id="12" name="Spalte12" dataDxfId="576"/>
  </tableColumns>
  <tableStyleInfo name="TSL_1" showFirstColumn="0" showLastColumn="0" showRowStripes="1" showColumnStripes="0"/>
</table>
</file>

<file path=xl/tables/table40.xml><?xml version="1.0" encoding="utf-8"?>
<table xmlns="http://schemas.openxmlformats.org/spreadsheetml/2006/main" id="60" name="Prüfkriterien_112161" displayName="Prüfkriterien_112161" ref="B213:M218" totalsRowShown="0" headerRowDxfId="14" dataDxfId="13" tableBorderDxfId="12">
  <autoFilter ref="B213:M218"/>
  <tableColumns count="12">
    <tableColumn id="1" name="Spalte1" dataDxfId="11">
      <calculatedColumnFormula>CONCATENATE("20.",Prüfkriterien_112161[[#This Row],[Spalte2]])</calculatedColumnFormula>
    </tableColumn>
    <tableColumn id="2" name="Spalte2" dataDxfId="10">
      <calculatedColumnFormula>ROW()-ROW(Prüfkriterien_112161[[#Headers],[Spalte3]])</calculatedColumnFormula>
    </tableColumn>
    <tableColumn id="3" name="Spalte3" dataDxfId="9">
      <calculatedColumnFormula>(Prüfkriterien_112161[Spalte2]+200)/10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0:M75" totalsRowShown="0" headerRowDxfId="575" dataDxfId="574" tableBorderDxfId="573">
  <autoFilter ref="B70:M75"/>
  <tableColumns count="12">
    <tableColumn id="1" name="Spalte1" dataDxfId="572">
      <calculatedColumnFormula>CONCATENATE("5.",Prüfkriterien_5[[#This Row],[Spalte2]])</calculatedColumnFormula>
    </tableColumn>
    <tableColumn id="2" name="Spalte2" dataDxfId="571">
      <calculatedColumnFormula>ROW()-ROW(Prüfkriterien_5[[#Headers],[Spalte3]])</calculatedColumnFormula>
    </tableColumn>
    <tableColumn id="3" name="Spalte3" dataDxfId="570">
      <calculatedColumnFormula>(Prüfkriterien_5[Spalte2]+50)/10</calculatedColumnFormula>
    </tableColumn>
    <tableColumn id="4" name="Spalte4" dataDxfId="569"/>
    <tableColumn id="5" name="Spalte5" dataDxfId="568"/>
    <tableColumn id="6" name="Spalte6" dataDxfId="567"/>
    <tableColumn id="7" name="Spalte7" dataDxfId="566"/>
    <tableColumn id="8" name="Spalte8" dataDxfId="565"/>
    <tableColumn id="9" name="Spalte9" dataDxfId="564"/>
    <tableColumn id="10" name="Spalte10" dataDxfId="563"/>
    <tableColumn id="11" name="Spalte11" dataDxfId="562"/>
    <tableColumn id="12" name="Spalte12" dataDxfId="561"/>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7:M82" totalsRowShown="0" headerRowDxfId="560" dataDxfId="559" tableBorderDxfId="558">
  <autoFilter ref="B77:M82"/>
  <tableColumns count="12">
    <tableColumn id="1" name="Spalte1" dataDxfId="557">
      <calculatedColumnFormula>CONCATENATE("6.",Prüfkriterien_6[[#This Row],[Spalte2]])</calculatedColumnFormula>
    </tableColumn>
    <tableColumn id="2" name="Spalte2" dataDxfId="556">
      <calculatedColumnFormula>ROW()-ROW(Prüfkriterien_6[[#Headers],[Spalte3]])</calculatedColumnFormula>
    </tableColumn>
    <tableColumn id="3" name="Spalte3" dataDxfId="555">
      <calculatedColumnFormula>(Prüfkriterien_6[Spalte2]+60)/10</calculatedColumnFormula>
    </tableColumn>
    <tableColumn id="4" name="Spalte4" dataDxfId="554"/>
    <tableColumn id="5" name="Spalte5" dataDxfId="553"/>
    <tableColumn id="6" name="Spalte6" dataDxfId="552"/>
    <tableColumn id="7" name="Spalte7" dataDxfId="551"/>
    <tableColumn id="8" name="Spalte8" dataDxfId="550"/>
    <tableColumn id="9" name="Spalte9" dataDxfId="549"/>
    <tableColumn id="10" name="Spalte10" dataDxfId="548"/>
    <tableColumn id="11" name="Spalte11" dataDxfId="547"/>
    <tableColumn id="12" name="Spalte12" dataDxfId="546"/>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4:M89" totalsRowShown="0" headerRowDxfId="545" dataDxfId="544" tableBorderDxfId="543">
  <autoFilter ref="B84:M89"/>
  <tableColumns count="12">
    <tableColumn id="1" name="Spalte1" dataDxfId="542">
      <calculatedColumnFormula>CONCATENATE("7.",Prüfkriterien_7[[#This Row],[Spalte2]])</calculatedColumnFormula>
    </tableColumn>
    <tableColumn id="2" name="Spalte2" dataDxfId="541">
      <calculatedColumnFormula>ROW()-ROW(Prüfkriterien_7[[#Headers],[Spalte3]])</calculatedColumnFormula>
    </tableColumn>
    <tableColumn id="3" name="Spalte3" dataDxfId="540">
      <calculatedColumnFormula>(Prüfkriterien_7[Spalte2]+70)/10</calculatedColumnFormula>
    </tableColumn>
    <tableColumn id="4" name="Spalte4" dataDxfId="539"/>
    <tableColumn id="5" name="Spalte5" dataDxfId="538"/>
    <tableColumn id="6" name="Spalte6" dataDxfId="537"/>
    <tableColumn id="7" name="Spalte7" dataDxfId="536"/>
    <tableColumn id="8" name="Spalte8" dataDxfId="535"/>
    <tableColumn id="9" name="Spalte9" dataDxfId="534"/>
    <tableColumn id="10" name="Spalte10" dataDxfId="533"/>
    <tableColumn id="11" name="Spalte11" dataDxfId="532"/>
    <tableColumn id="12" name="Spalte12" dataDxfId="531"/>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1:M96" totalsRowShown="0" headerRowDxfId="530" dataDxfId="529" tableBorderDxfId="528">
  <autoFilter ref="B91:M96"/>
  <tableColumns count="12">
    <tableColumn id="1" name="Spalte1" dataDxfId="527">
      <calculatedColumnFormula>CONCATENATE("8.",Prüfkriterien_8[[#This Row],[Spalte2]])</calculatedColumnFormula>
    </tableColumn>
    <tableColumn id="2" name="Spalte2" dataDxfId="526">
      <calculatedColumnFormula>ROW()-ROW(Prüfkriterien_8[[#Headers],[Spalte3]])</calculatedColumnFormula>
    </tableColumn>
    <tableColumn id="3" name="Spalte3" dataDxfId="525">
      <calculatedColumnFormula>(Prüfkriterien_8[Spalte2]+80)/10</calculatedColumnFormula>
    </tableColumn>
    <tableColumn id="4" name="Spalte4" dataDxfId="524"/>
    <tableColumn id="5" name="Spalte5" dataDxfId="523"/>
    <tableColumn id="6" name="Spalte6" dataDxfId="522"/>
    <tableColumn id="7" name="Spalte7" dataDxfId="521"/>
    <tableColumn id="8" name="Spalte8" dataDxfId="520"/>
    <tableColumn id="9" name="Spalte9" dataDxfId="519"/>
    <tableColumn id="10" name="Spalte10" dataDxfId="518"/>
    <tableColumn id="11" name="Spalte11" dataDxfId="517"/>
    <tableColumn id="12" name="Spalte12" dataDxfId="51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8:M103" totalsRowShown="0" headerRowDxfId="515" dataDxfId="514" tableBorderDxfId="513">
  <autoFilter ref="B98:M103"/>
  <tableColumns count="12">
    <tableColumn id="1" name="Spalte1" dataDxfId="512">
      <calculatedColumnFormula>CONCATENATE("9.",Prüfkriterien_9[[#This Row],[Spalte2]])</calculatedColumnFormula>
    </tableColumn>
    <tableColumn id="2" name="Spalte2" dataDxfId="511">
      <calculatedColumnFormula>ROW()-ROW(Prüfkriterien_9[[#Headers],[Spalte3]])</calculatedColumnFormula>
    </tableColumn>
    <tableColumn id="3" name="Spalte3" dataDxfId="510">
      <calculatedColumnFormula>(Prüfkriterien_9[Spalte2]+90)/10</calculatedColumnFormula>
    </tableColumn>
    <tableColumn id="4" name="Spalte4" dataDxfId="509"/>
    <tableColumn id="5" name="Spalte5" dataDxfId="508"/>
    <tableColumn id="6" name="Spalte6" dataDxfId="507"/>
    <tableColumn id="7" name="Spalte7" dataDxfId="506"/>
    <tableColumn id="8" name="Spalte8" dataDxfId="505"/>
    <tableColumn id="9" name="Spalte9" dataDxfId="504"/>
    <tableColumn id="10" name="Spalte10" dataDxfId="503"/>
    <tableColumn id="11" name="Spalte11" dataDxfId="502"/>
    <tableColumn id="12" name="Spalte12" dataDxfId="501"/>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21" Type="http://schemas.openxmlformats.org/officeDocument/2006/relationships/table" Target="../tables/table39.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vmlDrawing" Target="../drawings/vmlDrawing4.vml"/><Relationship Id="rId16" Type="http://schemas.openxmlformats.org/officeDocument/2006/relationships/table" Target="../tables/table34.xml"/><Relationship Id="rId20" Type="http://schemas.openxmlformats.org/officeDocument/2006/relationships/table" Target="../tables/table38.xml"/><Relationship Id="rId1" Type="http://schemas.openxmlformats.org/officeDocument/2006/relationships/printerSettings" Target="../printerSettings/printerSettings4.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19" Type="http://schemas.openxmlformats.org/officeDocument/2006/relationships/table" Target="../tables/table37.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 Id="rId22" Type="http://schemas.openxmlformats.org/officeDocument/2006/relationships/table" Target="../tables/table4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3"/>
  <sheetViews>
    <sheetView tabSelected="1" zoomScale="70" zoomScaleNormal="70" zoomScalePageLayoutView="70" workbookViewId="0">
      <selection activeCell="B2" sqref="B2:L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50" t="str">
        <f>"Checkliste "&amp;_RLV&amp;""</f>
        <v>Checkliste Mindestanforderungen Ferkelerzeugung und Ferkelaufzucht - erweitert</v>
      </c>
      <c r="C2" s="150"/>
      <c r="D2" s="150"/>
      <c r="E2" s="150"/>
      <c r="F2" s="150"/>
      <c r="G2" s="150"/>
      <c r="H2" s="150"/>
      <c r="I2" s="150"/>
      <c r="J2" s="150"/>
      <c r="K2" s="150"/>
      <c r="L2" s="150"/>
    </row>
    <row r="3" spans="2:12" ht="6" customHeight="1" x14ac:dyDescent="0.25"/>
    <row r="4" spans="2:12" ht="27" customHeight="1" x14ac:dyDescent="0.25">
      <c r="B4" s="81"/>
      <c r="E4" s="153"/>
      <c r="F4" s="153"/>
      <c r="G4" s="153"/>
      <c r="H4" s="153"/>
      <c r="I4" s="153"/>
      <c r="J4" s="153"/>
      <c r="K4" s="153"/>
      <c r="L4" s="153"/>
    </row>
    <row r="5" spans="2:12" s="28" customFormat="1" ht="27" customHeight="1" x14ac:dyDescent="0.3">
      <c r="B5" s="151" t="s">
        <v>0</v>
      </c>
      <c r="C5" s="151"/>
      <c r="D5" s="151"/>
      <c r="E5" s="151"/>
      <c r="F5" s="151"/>
      <c r="G5" s="151"/>
      <c r="H5" s="151"/>
      <c r="I5" s="151"/>
      <c r="J5" s="151"/>
      <c r="K5" s="151"/>
      <c r="L5" s="151"/>
    </row>
    <row r="6" spans="2:12" s="28" customFormat="1" ht="29.4" customHeight="1" x14ac:dyDescent="0.3">
      <c r="B6" s="139" t="s">
        <v>82</v>
      </c>
      <c r="C6" s="139"/>
      <c r="D6" s="139"/>
      <c r="E6" s="139"/>
      <c r="F6" s="139"/>
      <c r="G6" s="152"/>
      <c r="H6" s="152"/>
      <c r="I6" s="152"/>
      <c r="J6" s="152"/>
      <c r="K6" s="152"/>
      <c r="L6" s="152"/>
    </row>
    <row r="7" spans="2:12" s="28" customFormat="1" ht="29.4" customHeight="1" x14ac:dyDescent="0.3">
      <c r="B7" s="139" t="s">
        <v>81</v>
      </c>
      <c r="C7" s="139"/>
      <c r="D7" s="139"/>
      <c r="E7" s="139"/>
      <c r="F7" s="139"/>
      <c r="G7" s="152"/>
      <c r="H7" s="152"/>
      <c r="I7" s="152"/>
      <c r="J7" s="152"/>
      <c r="K7" s="152"/>
      <c r="L7" s="152"/>
    </row>
    <row r="8" spans="2:12" s="28" customFormat="1" ht="29.4" customHeight="1" x14ac:dyDescent="0.3">
      <c r="B8" s="140" t="s">
        <v>79</v>
      </c>
      <c r="C8" s="141"/>
      <c r="D8" s="141"/>
      <c r="E8" s="141"/>
      <c r="F8" s="142"/>
      <c r="G8" s="157"/>
      <c r="H8" s="158"/>
      <c r="I8" s="158"/>
      <c r="J8" s="158"/>
      <c r="K8" s="158"/>
      <c r="L8" s="159"/>
    </row>
    <row r="9" spans="2:12" s="28" customFormat="1" ht="29.4" customHeight="1" x14ac:dyDescent="0.3">
      <c r="B9" s="140" t="s">
        <v>80</v>
      </c>
      <c r="C9" s="141"/>
      <c r="D9" s="141"/>
      <c r="E9" s="141"/>
      <c r="F9" s="142"/>
      <c r="G9" s="157"/>
      <c r="H9" s="158"/>
      <c r="I9" s="158"/>
      <c r="J9" s="158"/>
      <c r="K9" s="158"/>
      <c r="L9" s="159"/>
    </row>
    <row r="10" spans="2:12" s="28" customFormat="1" ht="29.4" customHeight="1" x14ac:dyDescent="0.3">
      <c r="B10" s="139" t="s">
        <v>1</v>
      </c>
      <c r="C10" s="139"/>
      <c r="D10" s="139"/>
      <c r="E10" s="139"/>
      <c r="F10" s="139"/>
      <c r="G10" s="152"/>
      <c r="H10" s="152"/>
      <c r="I10" s="152"/>
      <c r="J10" s="152"/>
      <c r="K10" s="152"/>
      <c r="L10" s="152"/>
    </row>
    <row r="11" spans="2:12" s="28" customFormat="1" ht="29.4" customHeight="1" x14ac:dyDescent="0.3">
      <c r="B11" s="139" t="s">
        <v>2</v>
      </c>
      <c r="C11" s="139"/>
      <c r="D11" s="139"/>
      <c r="E11" s="139"/>
      <c r="F11" s="139"/>
      <c r="G11" s="152"/>
      <c r="H11" s="152"/>
      <c r="I11" s="152"/>
      <c r="J11" s="152"/>
      <c r="K11" s="152"/>
      <c r="L11" s="152"/>
    </row>
    <row r="12" spans="2:12" s="28" customFormat="1" ht="29.4" customHeight="1" x14ac:dyDescent="0.3">
      <c r="B12" s="139" t="s">
        <v>3</v>
      </c>
      <c r="C12" s="139"/>
      <c r="D12" s="139"/>
      <c r="E12" s="139"/>
      <c r="F12" s="139"/>
      <c r="G12" s="152"/>
      <c r="H12" s="152"/>
      <c r="I12" s="152"/>
      <c r="J12" s="152"/>
      <c r="K12" s="152"/>
      <c r="L12" s="152"/>
    </row>
    <row r="13" spans="2:12" s="28" customFormat="1" ht="29.4" customHeight="1" x14ac:dyDescent="0.3">
      <c r="B13" s="139" t="s">
        <v>4</v>
      </c>
      <c r="C13" s="139"/>
      <c r="D13" s="139"/>
      <c r="E13" s="139"/>
      <c r="F13" s="139"/>
      <c r="G13" s="152"/>
      <c r="H13" s="152"/>
      <c r="I13" s="152"/>
      <c r="J13" s="152"/>
      <c r="K13" s="152"/>
      <c r="L13" s="152"/>
    </row>
    <row r="14" spans="2:12" s="28" customFormat="1" ht="29.4" customHeight="1" x14ac:dyDescent="0.3">
      <c r="B14" s="139" t="s">
        <v>5</v>
      </c>
      <c r="C14" s="139"/>
      <c r="D14" s="139"/>
      <c r="E14" s="139"/>
      <c r="F14" s="139"/>
      <c r="G14" s="152"/>
      <c r="H14" s="152"/>
      <c r="I14" s="152"/>
      <c r="J14" s="152"/>
      <c r="K14" s="152"/>
      <c r="L14" s="152"/>
    </row>
    <row r="15" spans="2:12" s="28" customFormat="1" ht="29.4" customHeight="1" x14ac:dyDescent="0.3">
      <c r="B15" s="144" t="s">
        <v>6</v>
      </c>
      <c r="C15" s="145"/>
      <c r="D15" s="145"/>
      <c r="E15" s="145"/>
      <c r="F15" s="146"/>
      <c r="G15" s="39" t="s">
        <v>58</v>
      </c>
      <c r="H15" s="72"/>
      <c r="I15" s="39" t="s">
        <v>59</v>
      </c>
      <c r="J15" s="72"/>
      <c r="K15" s="39" t="s">
        <v>60</v>
      </c>
      <c r="L15" s="72"/>
    </row>
    <row r="16" spans="2:12" s="28" customFormat="1" ht="29.4" customHeight="1" x14ac:dyDescent="0.3">
      <c r="B16" s="147"/>
      <c r="C16" s="148"/>
      <c r="D16" s="148"/>
      <c r="E16" s="148"/>
      <c r="F16" s="149"/>
      <c r="G16" s="39" t="s">
        <v>97</v>
      </c>
      <c r="H16" s="72"/>
      <c r="I16" s="154"/>
      <c r="J16" s="155"/>
      <c r="K16" s="155"/>
      <c r="L16" s="156"/>
    </row>
    <row r="17" spans="2:12" s="28" customFormat="1" ht="29.4" customHeight="1" x14ac:dyDescent="0.3">
      <c r="B17" s="133" t="s">
        <v>57</v>
      </c>
      <c r="C17" s="133"/>
      <c r="D17" s="133"/>
      <c r="E17" s="133"/>
      <c r="F17" s="133"/>
      <c r="G17" s="136"/>
      <c r="H17" s="136"/>
      <c r="I17" s="136"/>
      <c r="J17" s="136"/>
      <c r="K17" s="136"/>
      <c r="L17" s="136"/>
    </row>
    <row r="18" spans="2:12" s="28" customFormat="1" ht="29.4" customHeight="1" x14ac:dyDescent="0.3">
      <c r="B18" s="133" t="s">
        <v>7</v>
      </c>
      <c r="C18" s="133"/>
      <c r="D18" s="133"/>
      <c r="E18" s="133"/>
      <c r="F18" s="133"/>
      <c r="G18" s="73" t="s">
        <v>56</v>
      </c>
      <c r="H18" s="13"/>
      <c r="I18" s="73" t="s">
        <v>9</v>
      </c>
      <c r="J18" s="13"/>
      <c r="K18" s="73" t="s">
        <v>10</v>
      </c>
      <c r="L18" s="14"/>
    </row>
    <row r="19" spans="2:12" s="28" customFormat="1" ht="29.4" customHeight="1" x14ac:dyDescent="0.3">
      <c r="B19" s="133" t="s">
        <v>8</v>
      </c>
      <c r="C19" s="133"/>
      <c r="D19" s="133"/>
      <c r="E19" s="133"/>
      <c r="F19" s="133"/>
      <c r="G19" s="137"/>
      <c r="H19" s="137"/>
      <c r="I19" s="137"/>
      <c r="J19" s="137"/>
      <c r="K19" s="137"/>
      <c r="L19" s="137"/>
    </row>
    <row r="20" spans="2:12" ht="29.25" customHeight="1" x14ac:dyDescent="0.25">
      <c r="B20" s="133" t="s">
        <v>85</v>
      </c>
      <c r="C20" s="133"/>
      <c r="D20" s="133"/>
      <c r="E20" s="133"/>
      <c r="F20" s="133"/>
      <c r="G20" s="134"/>
      <c r="H20" s="134"/>
      <c r="I20" s="134"/>
      <c r="J20" s="134"/>
      <c r="K20" s="134"/>
      <c r="L20" s="134"/>
    </row>
    <row r="23" spans="2:12" s="10" customFormat="1" ht="13.95" customHeight="1" x14ac:dyDescent="0.25">
      <c r="B23" s="138" t="s">
        <v>11</v>
      </c>
      <c r="C23" s="138"/>
      <c r="D23" s="138"/>
      <c r="E23" s="138"/>
      <c r="F23" s="138"/>
      <c r="G23" s="138"/>
      <c r="H23" s="138"/>
      <c r="I23" s="138"/>
      <c r="J23" s="138"/>
      <c r="K23" s="138"/>
      <c r="L23" s="138"/>
    </row>
    <row r="24" spans="2:12" ht="6.6" customHeight="1" x14ac:dyDescent="0.25">
      <c r="B24" s="2"/>
      <c r="C24" s="2"/>
      <c r="D24" s="2"/>
      <c r="E24" s="2"/>
      <c r="F24" s="2"/>
      <c r="G24" s="2"/>
      <c r="H24" s="2"/>
      <c r="I24" s="2"/>
      <c r="J24" s="2"/>
      <c r="K24" s="2"/>
      <c r="L24" s="2"/>
    </row>
    <row r="25" spans="2:12" s="10" customFormat="1" ht="13.95" customHeight="1" x14ac:dyDescent="0.3">
      <c r="B25" s="15"/>
      <c r="C25" s="36"/>
      <c r="D25" s="83" t="s">
        <v>12</v>
      </c>
      <c r="E25" s="83"/>
      <c r="F25" s="83"/>
      <c r="G25" s="83"/>
      <c r="H25" s="83"/>
      <c r="I25" s="83"/>
      <c r="J25" s="83"/>
      <c r="K25" s="83"/>
      <c r="L25" s="83"/>
    </row>
    <row r="26" spans="2:12" ht="13.95" customHeight="1" x14ac:dyDescent="0.25">
      <c r="B26" s="3"/>
      <c r="C26" s="3"/>
      <c r="D26" s="82"/>
      <c r="E26" s="82"/>
      <c r="F26" s="82"/>
      <c r="G26" s="82"/>
      <c r="H26" s="82"/>
      <c r="I26" s="82"/>
      <c r="J26" s="82"/>
      <c r="K26" s="82"/>
      <c r="L26" s="82"/>
    </row>
    <row r="27" spans="2:12" ht="13.95" customHeight="1" x14ac:dyDescent="0.25">
      <c r="B27" s="15"/>
      <c r="C27" s="36"/>
      <c r="D27" s="83" t="s">
        <v>13</v>
      </c>
      <c r="E27" s="83"/>
      <c r="F27" s="83"/>
      <c r="G27" s="83"/>
      <c r="H27" s="83"/>
      <c r="I27" s="83"/>
      <c r="J27" s="83"/>
      <c r="K27" s="83"/>
      <c r="L27" s="83"/>
    </row>
    <row r="28" spans="2:12" x14ac:dyDescent="0.25">
      <c r="B28" s="2"/>
      <c r="C28" s="2"/>
      <c r="D28" s="2"/>
      <c r="E28" s="2"/>
      <c r="F28" s="2"/>
      <c r="G28" s="2"/>
      <c r="H28" s="2"/>
      <c r="I28" s="2"/>
      <c r="J28" s="2"/>
      <c r="K28" s="2"/>
      <c r="L28" s="2"/>
    </row>
    <row r="29" spans="2:12" ht="27" customHeight="1" x14ac:dyDescent="0.25">
      <c r="B29" s="132" t="s">
        <v>84</v>
      </c>
      <c r="C29" s="132"/>
      <c r="D29" s="132"/>
      <c r="E29" s="132"/>
      <c r="F29" s="132"/>
      <c r="G29" s="132"/>
      <c r="H29" s="132"/>
      <c r="I29" s="132"/>
      <c r="J29" s="132"/>
      <c r="K29" s="132"/>
      <c r="L29" s="132"/>
    </row>
    <row r="31" spans="2:12" x14ac:dyDescent="0.25">
      <c r="B31" s="135"/>
      <c r="C31" s="135"/>
      <c r="D31" s="135"/>
      <c r="E31" s="135"/>
      <c r="F31" s="135"/>
      <c r="G31" s="40"/>
      <c r="H31" s="40"/>
      <c r="I31" s="40"/>
      <c r="J31" s="40"/>
      <c r="K31" s="40"/>
      <c r="L31" s="40"/>
    </row>
    <row r="32" spans="2:12" ht="14.4" customHeight="1" x14ac:dyDescent="0.25">
      <c r="B32" s="143" t="s">
        <v>15</v>
      </c>
      <c r="C32" s="143"/>
      <c r="D32" s="143"/>
      <c r="E32" s="143"/>
      <c r="F32" s="130" t="s">
        <v>18</v>
      </c>
      <c r="G32" s="131"/>
      <c r="H32" s="131"/>
      <c r="I32" s="131"/>
      <c r="J32" s="131"/>
      <c r="K32" s="129" t="s">
        <v>17</v>
      </c>
      <c r="L32" s="129"/>
    </row>
    <row r="33" ht="6" customHeight="1" x14ac:dyDescent="0.25"/>
  </sheetData>
  <sheetProtection formatCells="0"/>
  <mergeCells count="36">
    <mergeCell ref="I16:L16"/>
    <mergeCell ref="G13:L13"/>
    <mergeCell ref="G14:L14"/>
    <mergeCell ref="G9:L9"/>
    <mergeCell ref="G8:L8"/>
    <mergeCell ref="G10:L10"/>
    <mergeCell ref="G11:L11"/>
    <mergeCell ref="G12:L12"/>
    <mergeCell ref="B2:L2"/>
    <mergeCell ref="B5:L5"/>
    <mergeCell ref="B6:F6"/>
    <mergeCell ref="B7:F7"/>
    <mergeCell ref="G6:L6"/>
    <mergeCell ref="G7:L7"/>
    <mergeCell ref="E4:L4"/>
    <mergeCell ref="B13:F13"/>
    <mergeCell ref="B12:F12"/>
    <mergeCell ref="B8:F8"/>
    <mergeCell ref="B14:F14"/>
    <mergeCell ref="B32:E32"/>
    <mergeCell ref="B15:F16"/>
    <mergeCell ref="B10:F10"/>
    <mergeCell ref="B11:F11"/>
    <mergeCell ref="B9:F9"/>
    <mergeCell ref="G17:L17"/>
    <mergeCell ref="G19:L19"/>
    <mergeCell ref="B23:L23"/>
    <mergeCell ref="B17:F17"/>
    <mergeCell ref="B18:F18"/>
    <mergeCell ref="B19:F19"/>
    <mergeCell ref="K32:L32"/>
    <mergeCell ref="F32:J32"/>
    <mergeCell ref="B29:L29"/>
    <mergeCell ref="B20:F20"/>
    <mergeCell ref="G20:L20"/>
    <mergeCell ref="B31:F31"/>
  </mergeCells>
  <dataValidations count="3">
    <dataValidation type="list" allowBlank="1" showInputMessage="1" showErrorMessage="1" sqref="C25">
      <formula1>_chbx</formula1>
    </dataValidation>
    <dataValidation type="list" allowBlank="1" showInputMessage="1" showErrorMessage="1" sqref="G17:L17">
      <formula1>_Datum</formula1>
    </dataValidation>
    <dataValidation type="list" allowBlank="1" showInputMessage="1" showErrorMessage="1" sqref="G6:L6 E4:L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B25 B27 H15:H16 L15 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70" zoomScaleNormal="70" zoomScalePageLayoutView="70" workbookViewId="0">
      <selection activeCell="B2" sqref="B2:I2"/>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7" customFormat="1" ht="18" customHeight="1" x14ac:dyDescent="0.3">
      <c r="B2" s="172" t="str">
        <f>"Checkliste "&amp;_RLV&amp;""</f>
        <v>Checkliste Mindestanforderungen Ferkelerzeugung und Ferkelaufzucht - erweitert</v>
      </c>
      <c r="C2" s="172"/>
      <c r="D2" s="172"/>
      <c r="E2" s="172"/>
      <c r="F2" s="172"/>
      <c r="G2" s="172"/>
      <c r="H2" s="172"/>
      <c r="I2" s="172"/>
    </row>
    <row r="3" spans="2:9" s="19" customFormat="1" ht="6" customHeight="1" x14ac:dyDescent="0.3">
      <c r="B3" s="17"/>
      <c r="C3" s="17"/>
      <c r="D3" s="17"/>
      <c r="E3" s="17"/>
      <c r="F3" s="18"/>
      <c r="G3" s="18"/>
      <c r="H3" s="18"/>
      <c r="I3" s="17"/>
    </row>
    <row r="4" spans="2:9" ht="27" customHeight="1" x14ac:dyDescent="0.3">
      <c r="B4" s="20" t="s">
        <v>19</v>
      </c>
      <c r="C4" s="163"/>
      <c r="D4" s="163"/>
      <c r="E4" s="163"/>
      <c r="F4" s="163"/>
      <c r="G4" s="163"/>
      <c r="H4" s="22"/>
      <c r="I4" s="60"/>
    </row>
    <row r="5" spans="2:9" ht="27" customHeight="1" x14ac:dyDescent="0.3">
      <c r="B5" s="162" t="s">
        <v>20</v>
      </c>
      <c r="C5" s="162"/>
      <c r="D5" s="162"/>
      <c r="E5" s="162"/>
      <c r="F5" s="162"/>
      <c r="G5" s="162"/>
      <c r="H5" s="162"/>
      <c r="I5" s="162"/>
    </row>
    <row r="6" spans="2:9" s="16" customFormat="1" ht="27" customHeight="1" x14ac:dyDescent="0.3">
      <c r="B6" s="5" t="s">
        <v>21</v>
      </c>
      <c r="C6" s="5" t="s">
        <v>62</v>
      </c>
      <c r="D6" s="167" t="s">
        <v>22</v>
      </c>
      <c r="E6" s="168"/>
      <c r="F6" s="4" t="s">
        <v>29</v>
      </c>
      <c r="G6" s="5" t="s">
        <v>24</v>
      </c>
      <c r="H6" s="5" t="s">
        <v>25</v>
      </c>
      <c r="I6" s="5" t="s">
        <v>86</v>
      </c>
    </row>
    <row r="7" spans="2:9" ht="56.1" customHeight="1" x14ac:dyDescent="0.3">
      <c r="B7" s="5">
        <v>1</v>
      </c>
      <c r="C7" s="1"/>
      <c r="D7" s="169"/>
      <c r="E7" s="170"/>
      <c r="F7" s="79"/>
      <c r="G7" s="86"/>
      <c r="H7" s="1"/>
      <c r="I7" s="1"/>
    </row>
    <row r="8" spans="2:9" ht="56.1" customHeight="1" x14ac:dyDescent="0.3">
      <c r="B8" s="5">
        <v>2</v>
      </c>
      <c r="C8" s="1"/>
      <c r="D8" s="169"/>
      <c r="E8" s="170"/>
      <c r="F8" s="80"/>
      <c r="G8" s="86"/>
      <c r="H8" s="1"/>
      <c r="I8" s="1"/>
    </row>
    <row r="9" spans="2:9" ht="56.1" customHeight="1" x14ac:dyDescent="0.3">
      <c r="B9" s="5">
        <v>3</v>
      </c>
      <c r="C9" s="1"/>
      <c r="D9" s="169"/>
      <c r="E9" s="170"/>
      <c r="F9" s="80"/>
      <c r="G9" s="86"/>
      <c r="H9" s="1"/>
      <c r="I9" s="1"/>
    </row>
    <row r="10" spans="2:9" ht="56.1" customHeight="1" x14ac:dyDescent="0.3">
      <c r="B10" s="5">
        <v>4</v>
      </c>
      <c r="C10" s="1"/>
      <c r="D10" s="169"/>
      <c r="E10" s="170"/>
      <c r="F10" s="80"/>
      <c r="G10" s="86"/>
      <c r="H10" s="1"/>
      <c r="I10" s="1"/>
    </row>
    <row r="11" spans="2:9" ht="56.1" customHeight="1" x14ac:dyDescent="0.3">
      <c r="B11" s="5">
        <v>5</v>
      </c>
      <c r="C11" s="1"/>
      <c r="D11" s="169"/>
      <c r="E11" s="170"/>
      <c r="F11" s="80"/>
      <c r="G11" s="86"/>
      <c r="H11" s="1"/>
      <c r="I11" s="1"/>
    </row>
    <row r="12" spans="2:9" ht="56.1" customHeight="1" x14ac:dyDescent="0.3">
      <c r="B12" s="5">
        <v>6</v>
      </c>
      <c r="C12" s="1"/>
      <c r="D12" s="169"/>
      <c r="E12" s="170"/>
      <c r="F12" s="80"/>
      <c r="G12" s="86"/>
      <c r="H12" s="1"/>
      <c r="I12" s="1"/>
    </row>
    <row r="13" spans="2:9" ht="56.1" customHeight="1" x14ac:dyDescent="0.3">
      <c r="B13" s="5">
        <v>7</v>
      </c>
      <c r="C13" s="1"/>
      <c r="D13" s="169"/>
      <c r="E13" s="170"/>
      <c r="F13" s="80"/>
      <c r="G13" s="86"/>
      <c r="H13" s="1"/>
      <c r="I13" s="1"/>
    </row>
    <row r="14" spans="2:9" ht="56.1" customHeight="1" x14ac:dyDescent="0.3">
      <c r="B14" s="5">
        <v>8</v>
      </c>
      <c r="C14" s="1"/>
      <c r="D14" s="169"/>
      <c r="E14" s="170"/>
      <c r="F14" s="80"/>
      <c r="G14" s="86"/>
      <c r="H14" s="1"/>
      <c r="I14" s="1"/>
    </row>
    <row r="15" spans="2:9" ht="56.1" customHeight="1" x14ac:dyDescent="0.3">
      <c r="B15" s="5">
        <v>9</v>
      </c>
      <c r="C15" s="1"/>
      <c r="D15" s="169"/>
      <c r="E15" s="170"/>
      <c r="F15" s="80"/>
      <c r="G15" s="86"/>
      <c r="H15" s="1"/>
      <c r="I15" s="1"/>
    </row>
    <row r="16" spans="2:9" ht="56.1" customHeight="1" x14ac:dyDescent="0.3">
      <c r="B16" s="5">
        <v>10</v>
      </c>
      <c r="C16" s="1"/>
      <c r="D16" s="169"/>
      <c r="E16" s="170"/>
      <c r="F16" s="80"/>
      <c r="G16" s="86"/>
      <c r="H16" s="1"/>
      <c r="I16" s="1"/>
    </row>
    <row r="17" spans="2:9" ht="15.6" x14ac:dyDescent="0.3">
      <c r="B17" s="164" t="s">
        <v>87</v>
      </c>
      <c r="C17" s="164"/>
      <c r="D17" s="164"/>
      <c r="E17" s="164"/>
      <c r="F17" s="3"/>
      <c r="G17" s="20"/>
      <c r="H17" s="20"/>
      <c r="I17" s="20"/>
    </row>
    <row r="19" spans="2:9" ht="28.2" customHeight="1" x14ac:dyDescent="0.3">
      <c r="B19" s="165" t="s">
        <v>61</v>
      </c>
      <c r="C19" s="166"/>
      <c r="D19" s="166"/>
      <c r="E19" s="166"/>
      <c r="F19" s="166"/>
      <c r="G19" s="166"/>
      <c r="H19" s="166"/>
      <c r="I19" s="166"/>
    </row>
    <row r="22" spans="2:9" x14ac:dyDescent="0.3">
      <c r="B22" s="171"/>
      <c r="C22" s="171"/>
      <c r="D22" s="171"/>
      <c r="E22" s="24"/>
      <c r="F22" s="25"/>
      <c r="G22" s="24"/>
      <c r="H22" s="24"/>
      <c r="I22" s="24"/>
    </row>
    <row r="23" spans="2:9" x14ac:dyDescent="0.3">
      <c r="B23" s="160" t="s">
        <v>15</v>
      </c>
      <c r="C23" s="160"/>
      <c r="E23" s="161" t="s">
        <v>16</v>
      </c>
      <c r="F23" s="161"/>
      <c r="G23" s="161"/>
      <c r="H23" s="129" t="s">
        <v>17</v>
      </c>
      <c r="I23" s="129"/>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673" priority="1" operator="containsText" text="sAbw">
      <formula>NOT(ISERROR(SEARCH("sAbw",F7)))</formula>
    </cfRule>
    <cfRule type="containsText" dxfId="672" priority="2" operator="containsText" text="lAbw">
      <formula>NOT(ISERROR(SEARCH("lAbw",F7)))</formula>
    </cfRule>
    <cfRule type="containsText" dxfId="671"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81"/>
  <sheetViews>
    <sheetView zoomScale="80" zoomScaleNormal="80" workbookViewId="0">
      <pane ySplit="7" topLeftCell="A8" activePane="bottomLeft" state="frozen"/>
      <selection activeCell="U18" sqref="U18"/>
      <selection pane="bottomLeft" activeCell="G40" sqref="G40"/>
    </sheetView>
  </sheetViews>
  <sheetFormatPr baseColWidth="10" defaultColWidth="8.88671875" defaultRowHeight="13.2" x14ac:dyDescent="0.25"/>
  <cols>
    <col min="1" max="1" width="1.109375" style="2" customWidth="1"/>
    <col min="2" max="2" width="8.6640625" style="63" customWidth="1"/>
    <col min="3" max="4" width="18.33203125" style="64" hidden="1" customWidth="1"/>
    <col min="5" max="5" width="12.6640625" style="65" customWidth="1"/>
    <col min="6" max="7" width="40.6640625" style="2" customWidth="1"/>
    <col min="8" max="10" width="9.6640625" style="2" customWidth="1"/>
    <col min="11" max="11" width="10.33203125" style="2" customWidth="1"/>
    <col min="12" max="12" width="10.6640625" style="2" customWidth="1"/>
    <col min="13" max="13" width="52.6640625" style="2" customWidth="1"/>
    <col min="14" max="14" width="1.109375" style="2" customWidth="1"/>
    <col min="15" max="16384" width="8.88671875" style="2"/>
  </cols>
  <sheetData>
    <row r="1" spans="2:13" s="10" customFormat="1" ht="6" customHeight="1" x14ac:dyDescent="0.3">
      <c r="B1" s="28"/>
      <c r="C1" s="16"/>
      <c r="D1" s="16"/>
      <c r="G1" s="16"/>
    </row>
    <row r="2" spans="2:13" s="37" customFormat="1" ht="18" customHeight="1" x14ac:dyDescent="0.3">
      <c r="B2" s="150" t="str">
        <f>"Checkliste "&amp;_RLV&amp;""</f>
        <v>Checkliste Mindestanforderungen Ferkelerzeugung und Ferkelaufzucht - erweitert</v>
      </c>
      <c r="C2" s="150"/>
      <c r="D2" s="150"/>
      <c r="E2" s="150"/>
      <c r="F2" s="150"/>
      <c r="G2" s="150"/>
      <c r="H2" s="150"/>
      <c r="I2" s="150"/>
      <c r="J2" s="150"/>
      <c r="K2" s="150"/>
      <c r="L2" s="150"/>
      <c r="M2" s="150"/>
    </row>
    <row r="3" spans="2:13" s="19" customFormat="1" ht="26.1" customHeight="1" x14ac:dyDescent="0.3">
      <c r="B3" s="180" t="s">
        <v>257</v>
      </c>
      <c r="C3" s="181"/>
      <c r="D3" s="181"/>
      <c r="E3" s="181"/>
      <c r="F3" s="181"/>
      <c r="G3" s="181"/>
      <c r="H3" s="181"/>
      <c r="I3" s="181"/>
      <c r="J3" s="181"/>
      <c r="K3" s="181"/>
      <c r="L3" s="181"/>
      <c r="M3" s="181"/>
    </row>
    <row r="4" spans="2:13" s="10" customFormat="1" ht="27" customHeight="1" x14ac:dyDescent="0.3">
      <c r="B4" s="21" t="s">
        <v>19</v>
      </c>
      <c r="C4" s="182"/>
      <c r="D4" s="182"/>
      <c r="E4" s="182"/>
      <c r="F4" s="182"/>
      <c r="G4" s="182"/>
      <c r="H4" s="182"/>
      <c r="I4" s="182"/>
      <c r="J4" s="182"/>
      <c r="K4" s="182"/>
      <c r="M4" s="77"/>
    </row>
    <row r="5" spans="2:13" ht="27" customHeight="1" x14ac:dyDescent="0.25">
      <c r="B5" s="162" t="s">
        <v>30</v>
      </c>
      <c r="C5" s="162"/>
      <c r="D5" s="162"/>
      <c r="E5" s="162"/>
      <c r="F5" s="162"/>
      <c r="G5" s="162"/>
      <c r="H5" s="162"/>
      <c r="I5" s="162"/>
      <c r="J5" s="162"/>
      <c r="K5" s="162"/>
      <c r="L5" s="162"/>
      <c r="M5" s="162"/>
    </row>
    <row r="6" spans="2:13" s="27" customFormat="1" ht="26.4" customHeight="1" x14ac:dyDescent="0.3">
      <c r="B6" s="183" t="s">
        <v>31</v>
      </c>
      <c r="C6" s="185" t="s">
        <v>44</v>
      </c>
      <c r="D6" s="185" t="s">
        <v>45</v>
      </c>
      <c r="E6" s="187" t="s">
        <v>32</v>
      </c>
      <c r="F6" s="185" t="s">
        <v>33</v>
      </c>
      <c r="G6" s="189" t="s">
        <v>34</v>
      </c>
      <c r="H6" s="191" t="s">
        <v>23</v>
      </c>
      <c r="I6" s="192"/>
      <c r="J6" s="192"/>
      <c r="K6" s="192"/>
      <c r="L6" s="193"/>
      <c r="M6" s="185" t="s">
        <v>83</v>
      </c>
    </row>
    <row r="7" spans="2:13" x14ac:dyDescent="0.25">
      <c r="B7" s="184"/>
      <c r="C7" s="186"/>
      <c r="D7" s="186"/>
      <c r="E7" s="188"/>
      <c r="F7" s="186"/>
      <c r="G7" s="190"/>
      <c r="H7" s="23" t="s">
        <v>37</v>
      </c>
      <c r="I7" s="23" t="s">
        <v>26</v>
      </c>
      <c r="J7" s="23" t="s">
        <v>27</v>
      </c>
      <c r="K7" s="23" t="s">
        <v>28</v>
      </c>
      <c r="L7" s="23" t="s">
        <v>290</v>
      </c>
      <c r="M7" s="186"/>
    </row>
    <row r="8" spans="2:13" s="26" customFormat="1" x14ac:dyDescent="0.25">
      <c r="B8" s="176" t="s">
        <v>64</v>
      </c>
      <c r="C8" s="177"/>
      <c r="D8" s="177"/>
      <c r="E8" s="177"/>
      <c r="F8" s="177"/>
      <c r="G8" s="177"/>
      <c r="H8" s="177"/>
      <c r="I8" s="177"/>
      <c r="J8" s="177"/>
      <c r="K8" s="177"/>
      <c r="L8" s="177"/>
      <c r="M8" s="178"/>
    </row>
    <row r="9" spans="2:13" ht="26.4" hidden="1" x14ac:dyDescent="0.25">
      <c r="B9" s="29" t="s">
        <v>31</v>
      </c>
      <c r="C9" s="35" t="s">
        <v>44</v>
      </c>
      <c r="D9" s="35" t="s">
        <v>45</v>
      </c>
      <c r="E9" s="41" t="s">
        <v>32</v>
      </c>
      <c r="F9" s="42" t="s">
        <v>33</v>
      </c>
      <c r="G9" s="43" t="s">
        <v>34</v>
      </c>
      <c r="H9" s="36" t="s">
        <v>23</v>
      </c>
      <c r="I9" s="36" t="s">
        <v>39</v>
      </c>
      <c r="J9" s="36" t="s">
        <v>40</v>
      </c>
      <c r="K9" s="36" t="s">
        <v>41</v>
      </c>
      <c r="L9" s="36" t="s">
        <v>42</v>
      </c>
      <c r="M9" s="30" t="s">
        <v>35</v>
      </c>
    </row>
    <row r="10" spans="2:13" s="62" customFormat="1" ht="45" customHeight="1" x14ac:dyDescent="0.25">
      <c r="B10" s="50" t="str">
        <f>CONCATENATE("1.",Prüfkriterien_1[[#This Row],[Hilfsspalte_Num]])</f>
        <v>1.1</v>
      </c>
      <c r="C10" s="51">
        <f>ROW()-ROW(Prüfkriterien_1[[#Headers],[Hilfsspalte_Kom]])</f>
        <v>1</v>
      </c>
      <c r="D10" s="52">
        <f>(Prüfkriterien_1[Hilfsspalte_Num]+10)/10</f>
        <v>1.1000000000000001</v>
      </c>
      <c r="E10" s="97" t="s">
        <v>162</v>
      </c>
      <c r="F10" s="49" t="s">
        <v>98</v>
      </c>
      <c r="G10" s="32" t="s">
        <v>104</v>
      </c>
      <c r="H10" s="38" t="s">
        <v>63</v>
      </c>
      <c r="I10" s="38" t="s">
        <v>36</v>
      </c>
      <c r="J10" s="38" t="s">
        <v>36</v>
      </c>
      <c r="K10" s="38"/>
      <c r="L10" s="38" t="s">
        <v>36</v>
      </c>
      <c r="M10" s="49"/>
    </row>
    <row r="11" spans="2:13" s="62" customFormat="1" ht="72" customHeight="1" x14ac:dyDescent="0.25">
      <c r="B11" s="50" t="str">
        <f>CONCATENATE("1.",Prüfkriterien_1[[#This Row],[Hilfsspalte_Num]])</f>
        <v>1.2</v>
      </c>
      <c r="C11" s="51">
        <f>ROW()-ROW(Prüfkriterien_1[[#Headers],[Hilfsspalte_Kom]])</f>
        <v>2</v>
      </c>
      <c r="D11" s="52">
        <f>(Prüfkriterien_1[Hilfsspalte_Num]+10)/10</f>
        <v>1.2</v>
      </c>
      <c r="E11" s="97" t="s">
        <v>163</v>
      </c>
      <c r="F11" s="49" t="s">
        <v>102</v>
      </c>
      <c r="G11" s="32" t="s">
        <v>235</v>
      </c>
      <c r="H11" s="38"/>
      <c r="I11" s="38" t="s">
        <v>36</v>
      </c>
      <c r="J11" s="38" t="s">
        <v>36</v>
      </c>
      <c r="K11" s="38"/>
      <c r="L11" s="38" t="s">
        <v>36</v>
      </c>
      <c r="M11" s="49"/>
    </row>
    <row r="12" spans="2:13" s="62" customFormat="1" ht="57" customHeight="1" x14ac:dyDescent="0.25">
      <c r="B12" s="50" t="str">
        <f>CONCATENATE("1.",Prüfkriterien_1[[#This Row],[Hilfsspalte_Num]])</f>
        <v>1.3</v>
      </c>
      <c r="C12" s="51">
        <f>ROW()-ROW(Prüfkriterien_1[[#Headers],[Hilfsspalte_Kom]])</f>
        <v>3</v>
      </c>
      <c r="D12" s="52">
        <f>(Prüfkriterien_1[Hilfsspalte_Num]+10)/10</f>
        <v>1.3</v>
      </c>
      <c r="E12" s="97"/>
      <c r="F12" s="49" t="s">
        <v>99</v>
      </c>
      <c r="G12" s="32" t="s">
        <v>103</v>
      </c>
      <c r="H12" s="38"/>
      <c r="I12" s="38"/>
      <c r="J12" s="38"/>
      <c r="K12" s="38"/>
      <c r="L12" s="38"/>
      <c r="M12" s="49"/>
    </row>
    <row r="13" spans="2:13" s="62" customFormat="1" ht="75.75" customHeight="1" x14ac:dyDescent="0.25">
      <c r="B13" s="66" t="str">
        <f>CONCATENATE("1.",Prüfkriterien_1[[#This Row],[Hilfsspalte_Num]])</f>
        <v>1.4</v>
      </c>
      <c r="C13" s="67">
        <f>ROW()-ROW(Prüfkriterien_1[[#Headers],[Hilfsspalte_Kom]])</f>
        <v>4</v>
      </c>
      <c r="D13" s="68">
        <f>(Prüfkriterien_1[Hilfsspalte_Num]+10)/10</f>
        <v>1.4</v>
      </c>
      <c r="E13" s="97" t="s">
        <v>164</v>
      </c>
      <c r="F13" s="88" t="s">
        <v>100</v>
      </c>
      <c r="G13" s="32" t="s">
        <v>238</v>
      </c>
      <c r="H13" s="70"/>
      <c r="I13" s="71"/>
      <c r="J13" s="71"/>
      <c r="K13" s="71"/>
      <c r="L13" s="71"/>
      <c r="M13" s="69"/>
    </row>
    <row r="14" spans="2:13" s="62" customFormat="1" ht="56.25" customHeight="1" x14ac:dyDescent="0.25">
      <c r="B14" s="66" t="str">
        <f>CONCATENATE("1.",Prüfkriterien_1[[#This Row],[Hilfsspalte_Num]])</f>
        <v>1.5</v>
      </c>
      <c r="C14" s="67">
        <f>ROW()-ROW(Prüfkriterien_1[[#Headers],[Hilfsspalte_Kom]])</f>
        <v>5</v>
      </c>
      <c r="D14" s="68">
        <f>(Prüfkriterien_1[Hilfsspalte_Num]+10)/10</f>
        <v>1.5</v>
      </c>
      <c r="E14" s="97" t="s">
        <v>165</v>
      </c>
      <c r="F14" s="49" t="s">
        <v>101</v>
      </c>
      <c r="G14" s="32" t="s">
        <v>304</v>
      </c>
      <c r="H14" s="70"/>
      <c r="I14" s="71"/>
      <c r="J14" s="71"/>
      <c r="K14" s="71"/>
      <c r="L14" s="71"/>
      <c r="M14" s="69"/>
    </row>
    <row r="15" spans="2:13" s="62" customFormat="1" ht="81.75" customHeight="1" x14ac:dyDescent="0.25">
      <c r="B15" s="92" t="str">
        <f>CONCATENATE("1.",Prüfkriterien_1[[#This Row],[Hilfsspalte_Num]])</f>
        <v>1.6</v>
      </c>
      <c r="C15" s="45">
        <f>ROW()-ROW(Prüfkriterien_1[[#Headers],[Hilfsspalte_Kom]])</f>
        <v>6</v>
      </c>
      <c r="D15" s="46">
        <f>(Prüfkriterien_1[Hilfsspalte_Num]+10)/10</f>
        <v>1.6</v>
      </c>
      <c r="E15" s="41" t="s">
        <v>105</v>
      </c>
      <c r="F15" s="42" t="s">
        <v>106</v>
      </c>
      <c r="G15" s="43" t="s">
        <v>107</v>
      </c>
      <c r="H15" s="33"/>
      <c r="I15" s="38" t="s">
        <v>36</v>
      </c>
      <c r="J15" s="38" t="s">
        <v>36</v>
      </c>
      <c r="K15" s="38"/>
      <c r="L15" s="38"/>
      <c r="M15" s="49"/>
    </row>
    <row r="16" spans="2:13" s="62" customFormat="1" ht="111" customHeight="1" x14ac:dyDescent="0.25">
      <c r="B16" s="92" t="str">
        <f>CONCATENATE("1.",Prüfkriterien_1[[#This Row],[Hilfsspalte_Num]])</f>
        <v>1.7</v>
      </c>
      <c r="C16" s="45">
        <f>ROW()-ROW(Prüfkriterien_1[[#Headers],[Hilfsspalte_Kom]])</f>
        <v>7</v>
      </c>
      <c r="D16" s="46">
        <f>(Prüfkriterien_1[Hilfsspalte_Num]+10)/10</f>
        <v>1.7</v>
      </c>
      <c r="E16" s="41" t="s">
        <v>105</v>
      </c>
      <c r="F16" s="42" t="s">
        <v>308</v>
      </c>
      <c r="G16" s="93" t="s">
        <v>305</v>
      </c>
      <c r="H16" s="33"/>
      <c r="I16" s="38"/>
      <c r="J16" s="38"/>
      <c r="K16" s="38"/>
      <c r="L16" s="38"/>
      <c r="M16" s="49"/>
    </row>
    <row r="17" spans="2:13" s="62" customFormat="1" ht="93.75" customHeight="1" x14ac:dyDescent="0.25">
      <c r="B17" s="92" t="str">
        <f>CONCATENATE("1.",Prüfkriterien_1[[#This Row],[Hilfsspalte_Num]])</f>
        <v>1.8</v>
      </c>
      <c r="C17" s="45">
        <f>ROW()-ROW(Prüfkriterien_1[[#Headers],[Hilfsspalte_Kom]])</f>
        <v>8</v>
      </c>
      <c r="D17" s="46">
        <f>(Prüfkriterien_1[Hilfsspalte_Num]+10)/10</f>
        <v>1.8</v>
      </c>
      <c r="E17" s="94" t="s">
        <v>108</v>
      </c>
      <c r="F17" s="91" t="s">
        <v>309</v>
      </c>
      <c r="G17" s="95" t="s">
        <v>109</v>
      </c>
      <c r="H17" s="33"/>
      <c r="I17" s="38"/>
      <c r="J17" s="38"/>
      <c r="K17" s="38"/>
      <c r="L17" s="38"/>
      <c r="M17" s="49"/>
    </row>
    <row r="18" spans="2:13" s="62" customFormat="1" ht="93.75" customHeight="1" x14ac:dyDescent="0.25">
      <c r="B18" s="92" t="str">
        <f>CONCATENATE("1.",Prüfkriterien_1[[#This Row],[Hilfsspalte_Num]])</f>
        <v>1.9</v>
      </c>
      <c r="C18" s="45">
        <f>ROW()-ROW(Prüfkriterien_1[[#Headers],[Hilfsspalte_Kom]])</f>
        <v>9</v>
      </c>
      <c r="D18" s="46">
        <f>(Prüfkriterien_1[Hilfsspalte_Num]+10)/10</f>
        <v>1.9</v>
      </c>
      <c r="E18" s="114" t="s">
        <v>110</v>
      </c>
      <c r="F18" s="115" t="s">
        <v>260</v>
      </c>
      <c r="G18" s="115" t="s">
        <v>261</v>
      </c>
      <c r="H18" s="33"/>
      <c r="I18" s="38"/>
      <c r="J18" s="38"/>
      <c r="K18" s="38"/>
      <c r="L18" s="38"/>
      <c r="M18" s="49"/>
    </row>
    <row r="19" spans="2:13" s="62" customFormat="1" ht="87.75" customHeight="1" x14ac:dyDescent="0.25">
      <c r="B19" s="50" t="str">
        <f>CONCATENATE("1.",Prüfkriterien_1[[#This Row],[Hilfsspalte_Num]])</f>
        <v>1.10</v>
      </c>
      <c r="C19" s="51">
        <f>ROW()-ROW(Prüfkriterien_1[[#Headers],[Hilfsspalte_Kom]])</f>
        <v>10</v>
      </c>
      <c r="D19" s="52">
        <f>(Prüfkriterien_1[Hilfsspalte_Num]+10)/10</f>
        <v>2</v>
      </c>
      <c r="E19" s="116" t="s">
        <v>110</v>
      </c>
      <c r="F19" s="117" t="s">
        <v>310</v>
      </c>
      <c r="G19" s="117" t="s">
        <v>262</v>
      </c>
      <c r="H19" s="38"/>
      <c r="I19" s="38"/>
      <c r="J19" s="38"/>
      <c r="K19" s="38"/>
      <c r="L19" s="38"/>
      <c r="M19" s="49"/>
    </row>
    <row r="20" spans="2:13" x14ac:dyDescent="0.25">
      <c r="B20" s="179" t="s">
        <v>139</v>
      </c>
      <c r="C20" s="179"/>
      <c r="D20" s="179"/>
      <c r="E20" s="179"/>
      <c r="F20" s="179"/>
      <c r="G20" s="179"/>
      <c r="H20" s="179"/>
      <c r="I20" s="179"/>
      <c r="J20" s="179"/>
      <c r="K20" s="179"/>
      <c r="L20" s="179"/>
      <c r="M20" s="179"/>
    </row>
    <row r="21" spans="2:13" s="53" customFormat="1" hidden="1" x14ac:dyDescent="0.25">
      <c r="B21" s="44" t="s">
        <v>39</v>
      </c>
      <c r="C21" s="45" t="s">
        <v>40</v>
      </c>
      <c r="D21" s="45" t="s">
        <v>41</v>
      </c>
      <c r="E21" s="31" t="s">
        <v>42</v>
      </c>
      <c r="F21" s="32" t="s">
        <v>43</v>
      </c>
      <c r="G21" s="32" t="s">
        <v>46</v>
      </c>
      <c r="H21" s="33" t="s">
        <v>47</v>
      </c>
      <c r="I21" s="33" t="s">
        <v>48</v>
      </c>
      <c r="J21" s="33" t="s">
        <v>49</v>
      </c>
      <c r="K21" s="33" t="s">
        <v>50</v>
      </c>
      <c r="L21" s="33" t="s">
        <v>51</v>
      </c>
      <c r="M21" s="34" t="s">
        <v>52</v>
      </c>
    </row>
    <row r="22" spans="2:13" s="53" customFormat="1" ht="352.5" customHeight="1" x14ac:dyDescent="0.25">
      <c r="B22" s="44" t="str">
        <f>CONCATENATE("2.",Prüfkriterien_2[[#This Row],[Spalte2]])</f>
        <v>2.1</v>
      </c>
      <c r="C22" s="45">
        <f>ROW()-ROW(Prüfkriterien_2[[#Headers],[Spalte3]])</f>
        <v>1</v>
      </c>
      <c r="D22" s="46">
        <f>(Prüfkriterien_2[[#This Row],[Spalte2]]+20)/10</f>
        <v>2.1</v>
      </c>
      <c r="E22" s="98" t="s">
        <v>111</v>
      </c>
      <c r="F22" s="43" t="s">
        <v>112</v>
      </c>
      <c r="G22" s="43" t="s">
        <v>239</v>
      </c>
      <c r="H22" s="70"/>
      <c r="I22" s="70"/>
      <c r="J22" s="70"/>
      <c r="K22" s="70"/>
      <c r="L22" s="70"/>
      <c r="M22" s="49"/>
    </row>
    <row r="23" spans="2:13" s="53" customFormat="1" ht="64.5" customHeight="1" x14ac:dyDescent="0.25">
      <c r="B23" s="44" t="str">
        <f>CONCATENATE("2.",Prüfkriterien_2[[#This Row],[Spalte2]])</f>
        <v>2.2</v>
      </c>
      <c r="C23" s="45">
        <f>ROW()-ROW(Prüfkriterien_2[[#Headers],[Spalte3]])</f>
        <v>2</v>
      </c>
      <c r="D23" s="46">
        <f>(Prüfkriterien_2[[#This Row],[Spalte2]]+20)/10</f>
        <v>2.2000000000000002</v>
      </c>
      <c r="E23" s="98" t="s">
        <v>111</v>
      </c>
      <c r="F23" s="43" t="s">
        <v>113</v>
      </c>
      <c r="G23" s="43"/>
      <c r="H23" s="33"/>
      <c r="I23" s="33"/>
      <c r="J23" s="33"/>
      <c r="K23" s="33"/>
      <c r="L23" s="33"/>
      <c r="M23" s="49"/>
    </row>
    <row r="24" spans="2:13" s="53" customFormat="1" ht="64.5" customHeight="1" x14ac:dyDescent="0.25">
      <c r="B24" s="44" t="str">
        <f>CONCATENATE("2.",Prüfkriterien_2[[#This Row],[Spalte2]])</f>
        <v>2.3</v>
      </c>
      <c r="C24" s="45">
        <f>ROW()-ROW(Prüfkriterien_2[[#Headers],[Spalte3]])</f>
        <v>3</v>
      </c>
      <c r="D24" s="46">
        <f>(Prüfkriterien_2[[#This Row],[Spalte2]]+20)/10</f>
        <v>2.2999999999999998</v>
      </c>
      <c r="E24" s="98" t="s">
        <v>114</v>
      </c>
      <c r="F24" s="120" t="s">
        <v>311</v>
      </c>
      <c r="G24" s="120" t="s">
        <v>259</v>
      </c>
      <c r="H24" s="111"/>
      <c r="I24" s="33"/>
      <c r="J24" s="33"/>
      <c r="K24" s="33"/>
      <c r="L24" s="33"/>
      <c r="M24" s="49"/>
    </row>
    <row r="25" spans="2:13" s="53" customFormat="1" ht="36" customHeight="1" x14ac:dyDescent="0.25">
      <c r="B25" s="44" t="str">
        <f>CONCATENATE("2.",Prüfkriterien_2[[#This Row],[Spalte2]])</f>
        <v>2.4</v>
      </c>
      <c r="C25" s="45">
        <f>ROW()-ROW(Prüfkriterien_2[[#Headers],[Spalte3]])</f>
        <v>4</v>
      </c>
      <c r="D25" s="46">
        <f>(Prüfkriterien_2[[#This Row],[Spalte2]]+20)/10</f>
        <v>2.4</v>
      </c>
      <c r="E25" s="99" t="s">
        <v>114</v>
      </c>
      <c r="F25" s="119" t="s">
        <v>258</v>
      </c>
      <c r="G25" s="119" t="s">
        <v>115</v>
      </c>
      <c r="H25" s="33"/>
      <c r="I25" s="33" t="s">
        <v>36</v>
      </c>
      <c r="J25" s="33" t="s">
        <v>36</v>
      </c>
      <c r="K25" s="33"/>
      <c r="L25" s="33"/>
      <c r="M25" s="49"/>
    </row>
    <row r="26" spans="2:13" s="53" customFormat="1" ht="156.75" customHeight="1" x14ac:dyDescent="0.25">
      <c r="B26" s="44" t="str">
        <f>CONCATENATE("2.",Prüfkriterien_2[[#This Row],[Spalte2]])</f>
        <v>2.5</v>
      </c>
      <c r="C26" s="45">
        <f>ROW()-ROW(Prüfkriterien_2[[#Headers],[Spalte3]])</f>
        <v>5</v>
      </c>
      <c r="D26" s="46">
        <f>(Prüfkriterien_2[[#This Row],[Spalte2]]+20)/10</f>
        <v>2.5</v>
      </c>
      <c r="E26" s="100" t="s">
        <v>116</v>
      </c>
      <c r="F26" s="96" t="s">
        <v>117</v>
      </c>
      <c r="G26" s="96" t="s">
        <v>118</v>
      </c>
      <c r="H26" s="33"/>
      <c r="I26" s="33"/>
      <c r="J26" s="33"/>
      <c r="K26" s="33"/>
      <c r="L26" s="33"/>
      <c r="M26" s="49"/>
    </row>
    <row r="27" spans="2:13" s="53" customFormat="1" ht="70.5" customHeight="1" x14ac:dyDescent="0.25">
      <c r="B27" s="44" t="str">
        <f>CONCATENATE("2.",Prüfkriterien_2[[#This Row],[Spalte2]])</f>
        <v>2.6</v>
      </c>
      <c r="C27" s="45">
        <f>ROW()-ROW(Prüfkriterien_2[[#Headers],[Spalte3]])</f>
        <v>6</v>
      </c>
      <c r="D27" s="46">
        <f>(Prüfkriterien_2[[#This Row],[Spalte2]]+20)/10</f>
        <v>2.6</v>
      </c>
      <c r="E27" s="99" t="s">
        <v>119</v>
      </c>
      <c r="F27" s="95" t="s">
        <v>120</v>
      </c>
      <c r="G27" s="95" t="s">
        <v>121</v>
      </c>
      <c r="H27" s="33"/>
      <c r="I27" s="33"/>
      <c r="J27" s="33"/>
      <c r="K27" s="33"/>
      <c r="L27" s="33"/>
      <c r="M27" s="49"/>
    </row>
    <row r="28" spans="2:13" s="53" customFormat="1" ht="74.25" customHeight="1" x14ac:dyDescent="0.25">
      <c r="B28" s="44" t="str">
        <f>CONCATENATE("2.",Prüfkriterien_2[[#This Row],[Spalte2]])</f>
        <v>2.7</v>
      </c>
      <c r="C28" s="45">
        <f>ROW()-ROW(Prüfkriterien_2[[#Headers],[Spalte3]])</f>
        <v>7</v>
      </c>
      <c r="D28" s="46">
        <f>(Prüfkriterien_2[[#This Row],[Spalte2]]+20)/10</f>
        <v>2.7</v>
      </c>
      <c r="E28" s="100" t="s">
        <v>119</v>
      </c>
      <c r="F28" s="96" t="s">
        <v>122</v>
      </c>
      <c r="G28" s="96"/>
      <c r="H28" s="33"/>
      <c r="I28" s="33"/>
      <c r="J28" s="33"/>
      <c r="K28" s="33"/>
      <c r="L28" s="33"/>
      <c r="M28" s="49"/>
    </row>
    <row r="29" spans="2:13" s="53" customFormat="1" ht="48.75" customHeight="1" x14ac:dyDescent="0.25">
      <c r="B29" s="44" t="str">
        <f>CONCATENATE("2.",Prüfkriterien_2[[#This Row],[Spalte2]])</f>
        <v>2.8</v>
      </c>
      <c r="C29" s="45">
        <f>ROW()-ROW(Prüfkriterien_2[[#Headers],[Spalte3]])</f>
        <v>8</v>
      </c>
      <c r="D29" s="46">
        <f>(Prüfkriterien_2[[#This Row],[Spalte2]]+20)/10</f>
        <v>2.8</v>
      </c>
      <c r="E29" s="98" t="s">
        <v>119</v>
      </c>
      <c r="F29" s="43" t="s">
        <v>263</v>
      </c>
      <c r="G29" s="43"/>
      <c r="H29" s="33"/>
      <c r="I29" s="33"/>
      <c r="J29" s="33"/>
      <c r="K29" s="33"/>
      <c r="L29" s="33"/>
      <c r="M29" s="49"/>
    </row>
    <row r="30" spans="2:13" s="53" customFormat="1" ht="36" customHeight="1" x14ac:dyDescent="0.25">
      <c r="B30" s="44" t="str">
        <f>CONCATENATE("2.",Prüfkriterien_2[[#This Row],[Spalte2]])</f>
        <v>2.9</v>
      </c>
      <c r="C30" s="45">
        <f>ROW()-ROW(Prüfkriterien_2[[#Headers],[Spalte3]])</f>
        <v>9</v>
      </c>
      <c r="D30" s="46">
        <f>(Prüfkriterien_2[[#This Row],[Spalte2]]+20)/10</f>
        <v>2.9</v>
      </c>
      <c r="E30" s="31" t="s">
        <v>123</v>
      </c>
      <c r="F30" s="43" t="s">
        <v>312</v>
      </c>
      <c r="G30" s="43"/>
      <c r="H30" s="33"/>
      <c r="I30" s="33"/>
      <c r="J30" s="33"/>
      <c r="K30" s="33"/>
      <c r="L30" s="33"/>
      <c r="M30" s="49"/>
    </row>
    <row r="31" spans="2:13" s="53" customFormat="1" ht="36" customHeight="1" x14ac:dyDescent="0.25">
      <c r="B31" s="44" t="str">
        <f>CONCATENATE("2.",Prüfkriterien_2[[#This Row],[Spalte2]])</f>
        <v>2.10</v>
      </c>
      <c r="C31" s="45">
        <f>ROW()-ROW(Prüfkriterien_2[[#Headers],[Spalte3]])</f>
        <v>10</v>
      </c>
      <c r="D31" s="46">
        <f>(Prüfkriterien_2[[#This Row],[Spalte2]]+20)/10</f>
        <v>3</v>
      </c>
      <c r="E31" s="98" t="s">
        <v>123</v>
      </c>
      <c r="F31" s="43" t="s">
        <v>124</v>
      </c>
      <c r="G31" s="32"/>
      <c r="H31" s="33"/>
      <c r="I31" s="33"/>
      <c r="J31" s="33"/>
      <c r="K31" s="33"/>
      <c r="L31" s="33"/>
      <c r="M31" s="49"/>
    </row>
    <row r="32" spans="2:13" s="53" customFormat="1" ht="108" customHeight="1" x14ac:dyDescent="0.25">
      <c r="B32" s="44" t="str">
        <f>CONCATENATE("2.",Prüfkriterien_2[[#This Row],[Spalte2]])</f>
        <v>2.11</v>
      </c>
      <c r="C32" s="45">
        <f>ROW()-ROW(Prüfkriterien_2[[#Headers],[Spalte3]])</f>
        <v>11</v>
      </c>
      <c r="D32" s="46">
        <f>(Prüfkriterien_2[[#This Row],[Spalte2]]+20)/10</f>
        <v>3.1</v>
      </c>
      <c r="E32" s="98" t="s">
        <v>123</v>
      </c>
      <c r="F32" s="43" t="s">
        <v>313</v>
      </c>
      <c r="G32" s="32"/>
      <c r="H32" s="33"/>
      <c r="I32" s="33"/>
      <c r="J32" s="33"/>
      <c r="K32" s="33"/>
      <c r="L32" s="33"/>
      <c r="M32" s="49"/>
    </row>
    <row r="33" spans="2:13" s="53" customFormat="1" ht="129.75" customHeight="1" x14ac:dyDescent="0.25">
      <c r="B33" s="44" t="str">
        <f>CONCATENATE("2.",Prüfkriterien_2[[#This Row],[Spalte2]])</f>
        <v>2.12</v>
      </c>
      <c r="C33" s="45">
        <f>ROW()-ROW(Prüfkriterien_2[[#Headers],[Spalte3]])</f>
        <v>12</v>
      </c>
      <c r="D33" s="46">
        <f>(Prüfkriterien_2[[#This Row],[Spalte2]]+20)/10</f>
        <v>3.2</v>
      </c>
      <c r="E33" s="98" t="s">
        <v>123</v>
      </c>
      <c r="F33" s="43" t="s">
        <v>306</v>
      </c>
      <c r="G33" s="43"/>
      <c r="H33" s="33"/>
      <c r="I33" s="33"/>
      <c r="J33" s="33"/>
      <c r="K33" s="33"/>
      <c r="L33" s="33"/>
      <c r="M33" s="49"/>
    </row>
    <row r="34" spans="2:13" s="53" customFormat="1" ht="51.75" customHeight="1" x14ac:dyDescent="0.25">
      <c r="B34" s="44" t="str">
        <f>CONCATENATE("2.",Prüfkriterien_2[[#This Row],[Spalte2]])</f>
        <v>2.13</v>
      </c>
      <c r="C34" s="45">
        <f>ROW()-ROW(Prüfkriterien_2[[#Headers],[Spalte3]])</f>
        <v>13</v>
      </c>
      <c r="D34" s="46">
        <f>(Prüfkriterien_2[[#This Row],[Spalte2]]+20)/10</f>
        <v>3.3</v>
      </c>
      <c r="E34" s="98" t="s">
        <v>125</v>
      </c>
      <c r="F34" s="43" t="s">
        <v>126</v>
      </c>
      <c r="G34" s="43"/>
      <c r="H34" s="33"/>
      <c r="I34" s="33"/>
      <c r="J34" s="33"/>
      <c r="K34" s="33"/>
      <c r="L34" s="33"/>
      <c r="M34" s="49"/>
    </row>
    <row r="35" spans="2:13" s="53" customFormat="1" ht="75" customHeight="1" x14ac:dyDescent="0.25">
      <c r="B35" s="44" t="str">
        <f>CONCATENATE("2.",Prüfkriterien_2[[#This Row],[Spalte2]])</f>
        <v>2.14</v>
      </c>
      <c r="C35" s="45">
        <f>ROW()-ROW(Prüfkriterien_2[[#Headers],[Spalte3]])</f>
        <v>14</v>
      </c>
      <c r="D35" s="46">
        <f>(Prüfkriterien_2[[#This Row],[Spalte2]]+20)/10</f>
        <v>3.4</v>
      </c>
      <c r="E35" s="99" t="s">
        <v>125</v>
      </c>
      <c r="F35" s="95" t="s">
        <v>240</v>
      </c>
      <c r="G35" s="95" t="s">
        <v>127</v>
      </c>
      <c r="H35" s="33"/>
      <c r="I35" s="33"/>
      <c r="J35" s="33"/>
      <c r="K35" s="33"/>
      <c r="L35" s="33"/>
      <c r="M35" s="49"/>
    </row>
    <row r="36" spans="2:13" s="53" customFormat="1" ht="150.75" customHeight="1" x14ac:dyDescent="0.25">
      <c r="B36" s="44" t="str">
        <f>CONCATENATE("2.",Prüfkriterien_2[[#This Row],[Spalte2]])</f>
        <v>2.15</v>
      </c>
      <c r="C36" s="45">
        <f>ROW()-ROW(Prüfkriterien_2[[#Headers],[Spalte3]])</f>
        <v>15</v>
      </c>
      <c r="D36" s="46">
        <f>(Prüfkriterien_2[[#This Row],[Spalte2]]+20)/10</f>
        <v>3.5</v>
      </c>
      <c r="E36" s="100" t="s">
        <v>128</v>
      </c>
      <c r="F36" s="96" t="s">
        <v>314</v>
      </c>
      <c r="G36" s="96" t="s">
        <v>264</v>
      </c>
      <c r="H36" s="33"/>
      <c r="I36" s="33" t="s">
        <v>36</v>
      </c>
      <c r="J36" s="33" t="s">
        <v>36</v>
      </c>
      <c r="K36" s="33"/>
      <c r="L36" s="33"/>
      <c r="M36" s="49"/>
    </row>
    <row r="37" spans="2:13" s="53" customFormat="1" ht="81" customHeight="1" x14ac:dyDescent="0.25">
      <c r="B37" s="44" t="str">
        <f>CONCATENATE("2.",Prüfkriterien_2[[#This Row],[Spalte2]])</f>
        <v>2.16</v>
      </c>
      <c r="C37" s="45">
        <f>ROW()-ROW(Prüfkriterien_2[[#Headers],[Spalte3]])</f>
        <v>16</v>
      </c>
      <c r="D37" s="46">
        <f>(Prüfkriterien_2[[#This Row],[Spalte2]]+20)/10</f>
        <v>3.6</v>
      </c>
      <c r="E37" s="98" t="s">
        <v>128</v>
      </c>
      <c r="F37" s="43" t="s">
        <v>129</v>
      </c>
      <c r="G37" s="43"/>
      <c r="H37" s="33"/>
      <c r="I37" s="33"/>
      <c r="J37" s="33"/>
      <c r="K37" s="33"/>
      <c r="L37" s="33"/>
      <c r="M37" s="49"/>
    </row>
    <row r="38" spans="2:13" s="53" customFormat="1" ht="65.25" customHeight="1" x14ac:dyDescent="0.25">
      <c r="B38" s="44" t="str">
        <f>CONCATENATE("2.",Prüfkriterien_2[[#This Row],[Spalte2]])</f>
        <v>2.17</v>
      </c>
      <c r="C38" s="45">
        <f>ROW()-ROW(Prüfkriterien_2[[#Headers],[Spalte3]])</f>
        <v>17</v>
      </c>
      <c r="D38" s="46">
        <f>(Prüfkriterien_2[[#This Row],[Spalte2]]+20)/10</f>
        <v>3.7</v>
      </c>
      <c r="E38" s="99" t="s">
        <v>128</v>
      </c>
      <c r="F38" s="95" t="s">
        <v>130</v>
      </c>
      <c r="G38" s="95"/>
      <c r="H38" s="33"/>
      <c r="I38" s="33"/>
      <c r="J38" s="33"/>
      <c r="K38" s="33"/>
      <c r="L38" s="33"/>
      <c r="M38" s="49"/>
    </row>
    <row r="39" spans="2:13" s="53" customFormat="1" ht="408.75" customHeight="1" x14ac:dyDescent="0.25">
      <c r="B39" s="44" t="str">
        <f>CONCATENATE("2.",Prüfkriterien_2[[#This Row],[Spalte2]])</f>
        <v>2.18</v>
      </c>
      <c r="C39" s="45">
        <f>ROW()-ROW(Prüfkriterien_2[[#Headers],[Spalte3]])</f>
        <v>18</v>
      </c>
      <c r="D39" s="46">
        <f>(Prüfkriterien_2[[#This Row],[Spalte2]]+20)/10</f>
        <v>3.8</v>
      </c>
      <c r="E39" s="101" t="s">
        <v>128</v>
      </c>
      <c r="F39" s="102" t="s">
        <v>131</v>
      </c>
      <c r="G39" s="102" t="s">
        <v>315</v>
      </c>
      <c r="H39" s="33"/>
      <c r="I39" s="33"/>
      <c r="J39" s="33"/>
      <c r="K39" s="33"/>
      <c r="L39" s="33"/>
      <c r="M39" s="49"/>
    </row>
    <row r="40" spans="2:13" s="53" customFormat="1" ht="123" customHeight="1" x14ac:dyDescent="0.25">
      <c r="B40" s="44" t="str">
        <f>CONCATENATE("2.",Prüfkriterien_2[[#This Row],[Spalte2]])</f>
        <v>2.19</v>
      </c>
      <c r="C40" s="45">
        <f>ROW()-ROW(Prüfkriterien_2[[#Headers],[Spalte3]])</f>
        <v>19</v>
      </c>
      <c r="D40" s="46">
        <f>(Prüfkriterien_2[[#This Row],[Spalte2]]+20)/10</f>
        <v>3.9</v>
      </c>
      <c r="E40" s="98" t="s">
        <v>128</v>
      </c>
      <c r="F40" s="43" t="s">
        <v>132</v>
      </c>
      <c r="G40" s="43" t="s">
        <v>316</v>
      </c>
      <c r="H40" s="33"/>
      <c r="I40" s="33" t="s">
        <v>36</v>
      </c>
      <c r="J40" s="33" t="s">
        <v>36</v>
      </c>
      <c r="K40" s="33"/>
      <c r="L40" s="33"/>
      <c r="M40" s="49"/>
    </row>
    <row r="41" spans="2:13" s="53" customFormat="1" ht="37.5" customHeight="1" x14ac:dyDescent="0.25">
      <c r="B41" s="56" t="str">
        <f>CONCATENATE("2.",Prüfkriterien_2[[#This Row],[Spalte2]])</f>
        <v>2.20</v>
      </c>
      <c r="C41" s="45">
        <f>ROW()-ROW(Prüfkriterien_2[[#Headers],[Spalte3]])</f>
        <v>20</v>
      </c>
      <c r="D41" s="46">
        <f>(Prüfkriterien_2[[#This Row],[Spalte2]]+20)/10</f>
        <v>4</v>
      </c>
      <c r="E41" s="103" t="s">
        <v>133</v>
      </c>
      <c r="F41" s="104" t="s">
        <v>236</v>
      </c>
      <c r="G41" s="104"/>
      <c r="H41" s="70"/>
      <c r="I41" s="70"/>
      <c r="J41" s="70"/>
      <c r="K41" s="70"/>
      <c r="L41" s="70"/>
      <c r="M41" s="87"/>
    </row>
    <row r="42" spans="2:13" s="53" customFormat="1" ht="75.75" customHeight="1" x14ac:dyDescent="0.25">
      <c r="B42" s="56" t="str">
        <f>CONCATENATE("2.",Prüfkriterien_2[[#This Row],[Spalte2]])</f>
        <v>2.21</v>
      </c>
      <c r="C42" s="45">
        <f>ROW()-ROW(Prüfkriterien_2[[#Headers],[Spalte3]])</f>
        <v>21</v>
      </c>
      <c r="D42" s="46">
        <f>(Prüfkriterien_2[[#This Row],[Spalte2]]+20)/10</f>
        <v>4.0999999999999996</v>
      </c>
      <c r="E42" s="100" t="s">
        <v>133</v>
      </c>
      <c r="F42" s="96" t="s">
        <v>134</v>
      </c>
      <c r="G42" s="96" t="s">
        <v>135</v>
      </c>
      <c r="H42" s="70"/>
      <c r="I42" s="70"/>
      <c r="J42" s="70"/>
      <c r="K42" s="70"/>
      <c r="L42" s="70"/>
      <c r="M42" s="87"/>
    </row>
    <row r="43" spans="2:13" s="53" customFormat="1" ht="61.5" customHeight="1" x14ac:dyDescent="0.25">
      <c r="B43" s="56" t="str">
        <f>CONCATENATE("2.",Prüfkriterien_2[[#This Row],[Spalte2]])</f>
        <v>2.22</v>
      </c>
      <c r="C43" s="45">
        <f>ROW()-ROW(Prüfkriterien_2[[#Headers],[Spalte3]])</f>
        <v>22</v>
      </c>
      <c r="D43" s="46">
        <f>(Prüfkriterien_2[[#This Row],[Spalte2]]+20)/10</f>
        <v>4.2</v>
      </c>
      <c r="E43" s="98" t="s">
        <v>136</v>
      </c>
      <c r="F43" s="43" t="s">
        <v>137</v>
      </c>
      <c r="G43" s="93" t="s">
        <v>63</v>
      </c>
      <c r="H43" s="70"/>
      <c r="I43" s="70"/>
      <c r="J43" s="70"/>
      <c r="K43" s="70"/>
      <c r="L43" s="70"/>
      <c r="M43" s="87"/>
    </row>
    <row r="44" spans="2:13" s="53" customFormat="1" ht="81.75" customHeight="1" x14ac:dyDescent="0.25">
      <c r="B44" s="56" t="str">
        <f>CONCATENATE("2.",Prüfkriterien_2[[#This Row],[Spalte2]])</f>
        <v>2.23</v>
      </c>
      <c r="C44" s="45">
        <f>ROW()-ROW(Prüfkriterien_2[[#Headers],[Spalte3]])</f>
        <v>23</v>
      </c>
      <c r="D44" s="46">
        <f>(Prüfkriterien_2[[#This Row],[Spalte2]]+20)/10</f>
        <v>4.3</v>
      </c>
      <c r="E44" s="98" t="s">
        <v>136</v>
      </c>
      <c r="F44" s="43" t="s">
        <v>138</v>
      </c>
      <c r="G44" s="43"/>
      <c r="H44" s="70"/>
      <c r="I44" s="70"/>
      <c r="J44" s="70"/>
      <c r="K44" s="70"/>
      <c r="L44" s="70"/>
      <c r="M44" s="87"/>
    </row>
    <row r="45" spans="2:13" x14ac:dyDescent="0.25">
      <c r="B45" s="173" t="s">
        <v>140</v>
      </c>
      <c r="C45" s="174"/>
      <c r="D45" s="174"/>
      <c r="E45" s="174"/>
      <c r="F45" s="174"/>
      <c r="G45" s="174"/>
      <c r="H45" s="174"/>
      <c r="I45" s="174"/>
      <c r="J45" s="174"/>
      <c r="K45" s="174"/>
      <c r="L45" s="174"/>
      <c r="M45" s="175"/>
    </row>
    <row r="46" spans="2:13" s="53" customFormat="1" hidden="1" x14ac:dyDescent="0.25">
      <c r="B46" s="44" t="s">
        <v>39</v>
      </c>
      <c r="C46" s="45" t="s">
        <v>40</v>
      </c>
      <c r="D46" s="45" t="s">
        <v>41</v>
      </c>
      <c r="E46" s="31" t="s">
        <v>42</v>
      </c>
      <c r="F46" s="32" t="s">
        <v>43</v>
      </c>
      <c r="G46" s="32" t="s">
        <v>46</v>
      </c>
      <c r="H46" s="33" t="s">
        <v>47</v>
      </c>
      <c r="I46" s="33" t="s">
        <v>48</v>
      </c>
      <c r="J46" s="33" t="s">
        <v>49</v>
      </c>
      <c r="K46" s="33" t="s">
        <v>50</v>
      </c>
      <c r="L46" s="33" t="s">
        <v>51</v>
      </c>
      <c r="M46" s="34" t="s">
        <v>52</v>
      </c>
    </row>
    <row r="47" spans="2:13" s="53" customFormat="1" ht="157.5" customHeight="1" x14ac:dyDescent="0.25">
      <c r="B47" s="44" t="str">
        <f>CONCATENATE("3.",Prüfkriterien_3[[#This Row],[Spalte2]])</f>
        <v>3.1</v>
      </c>
      <c r="C47" s="45">
        <f>ROW()-ROW(Prüfkriterien_3[[#Headers],[Spalte3]])</f>
        <v>1</v>
      </c>
      <c r="D47" s="45">
        <f>(Prüfkriterien_3[[#This Row],[Spalte2]]+30)/10</f>
        <v>3.1</v>
      </c>
      <c r="E47" s="98" t="s">
        <v>141</v>
      </c>
      <c r="F47" s="43" t="s">
        <v>265</v>
      </c>
      <c r="G47" s="43" t="s">
        <v>142</v>
      </c>
      <c r="H47" s="70"/>
      <c r="I47" s="70"/>
      <c r="J47" s="70"/>
      <c r="K47" s="70"/>
      <c r="L47" s="70"/>
      <c r="M47" s="49"/>
    </row>
    <row r="48" spans="2:13" s="53" customFormat="1" ht="130.5" customHeight="1" x14ac:dyDescent="0.25">
      <c r="B48" s="44" t="str">
        <f>CONCATENATE("3.",Prüfkriterien_3[[#This Row],[Spalte2]])</f>
        <v>3.2</v>
      </c>
      <c r="C48" s="45">
        <f>ROW()-ROW(Prüfkriterien_3[[#Headers],[Spalte3]])</f>
        <v>2</v>
      </c>
      <c r="D48" s="45">
        <f>(Prüfkriterien_3[[#This Row],[Spalte2]]+30)/10</f>
        <v>3.2</v>
      </c>
      <c r="E48" s="98" t="s">
        <v>143</v>
      </c>
      <c r="F48" s="43" t="s">
        <v>144</v>
      </c>
      <c r="G48" s="43" t="s">
        <v>145</v>
      </c>
      <c r="H48" s="33"/>
      <c r="I48" s="33"/>
      <c r="J48" s="33"/>
      <c r="K48" s="33"/>
      <c r="L48" s="33"/>
      <c r="M48" s="49"/>
    </row>
    <row r="49" spans="2:13" s="53" customFormat="1" ht="102" customHeight="1" x14ac:dyDescent="0.25">
      <c r="B49" s="44" t="str">
        <f>CONCATENATE("3.",Prüfkriterien_3[[#This Row],[Spalte2]])</f>
        <v>3.3</v>
      </c>
      <c r="C49" s="45">
        <f>ROW()-ROW(Prüfkriterien_3[[#Headers],[Spalte3]])</f>
        <v>3</v>
      </c>
      <c r="D49" s="45">
        <f>(Prüfkriterien_3[[#This Row],[Spalte2]]+30)/10</f>
        <v>3.3</v>
      </c>
      <c r="E49" s="99" t="s">
        <v>143</v>
      </c>
      <c r="F49" s="95" t="s">
        <v>146</v>
      </c>
      <c r="G49" s="95" t="s">
        <v>147</v>
      </c>
      <c r="H49" s="33"/>
      <c r="I49" s="33"/>
      <c r="J49" s="33"/>
      <c r="K49" s="33"/>
      <c r="L49" s="33"/>
      <c r="M49" s="49"/>
    </row>
    <row r="50" spans="2:13" s="53" customFormat="1" ht="90" customHeight="1" x14ac:dyDescent="0.25">
      <c r="B50" s="44" t="str">
        <f>CONCATENATE("3.",Prüfkriterien_3[[#This Row],[Spalte2]])</f>
        <v>3.4</v>
      </c>
      <c r="C50" s="45">
        <f>ROW()-ROW(Prüfkriterien_3[[#Headers],[Spalte3]])</f>
        <v>4</v>
      </c>
      <c r="D50" s="45">
        <f>(Prüfkriterien_3[[#This Row],[Spalte2]]+30)/10</f>
        <v>3.4</v>
      </c>
      <c r="E50" s="103" t="s">
        <v>143</v>
      </c>
      <c r="F50" s="104" t="s">
        <v>148</v>
      </c>
      <c r="G50" s="104" t="s">
        <v>149</v>
      </c>
      <c r="H50" s="33"/>
      <c r="I50" s="33"/>
      <c r="J50" s="33"/>
      <c r="K50" s="33"/>
      <c r="L50" s="33"/>
      <c r="M50" s="49"/>
    </row>
    <row r="51" spans="2:13" s="53" customFormat="1" ht="60.75" customHeight="1" x14ac:dyDescent="0.25">
      <c r="B51" s="44" t="str">
        <f>CONCATENATE("3.",Prüfkriterien_3[[#This Row],[Spalte2]])</f>
        <v>3.5</v>
      </c>
      <c r="C51" s="45">
        <f>ROW()-ROW(Prüfkriterien_3[[#Headers],[Spalte3]])</f>
        <v>5</v>
      </c>
      <c r="D51" s="45">
        <f>(Prüfkriterien_3[[#This Row],[Spalte2]]+30)/10</f>
        <v>3.5</v>
      </c>
      <c r="E51" s="103" t="s">
        <v>143</v>
      </c>
      <c r="F51" s="104" t="s">
        <v>150</v>
      </c>
      <c r="G51" s="104" t="s">
        <v>151</v>
      </c>
      <c r="H51" s="33"/>
      <c r="I51" s="33"/>
      <c r="J51" s="33"/>
      <c r="K51" s="33"/>
      <c r="L51" s="33"/>
      <c r="M51" s="49"/>
    </row>
    <row r="52" spans="2:13" s="53" customFormat="1" ht="51.75" customHeight="1" x14ac:dyDescent="0.25">
      <c r="B52" s="44" t="str">
        <f>CONCATENATE("3.",Prüfkriterien_3[[#This Row],[Spalte2]])</f>
        <v>3.6</v>
      </c>
      <c r="C52" s="45">
        <f>ROW()-ROW(Prüfkriterien_3[[#Headers],[Spalte3]])</f>
        <v>6</v>
      </c>
      <c r="D52" s="45">
        <f>(Prüfkriterien_3[[#This Row],[Spalte2]]+30)/10</f>
        <v>3.6</v>
      </c>
      <c r="E52" s="98" t="s">
        <v>152</v>
      </c>
      <c r="F52" s="43" t="s">
        <v>153</v>
      </c>
      <c r="G52" s="43" t="s">
        <v>241</v>
      </c>
      <c r="H52" s="33"/>
      <c r="I52" s="33"/>
      <c r="J52" s="33"/>
      <c r="K52" s="33"/>
      <c r="L52" s="33"/>
      <c r="M52" s="49"/>
    </row>
    <row r="53" spans="2:13" s="53" customFormat="1" ht="63" customHeight="1" x14ac:dyDescent="0.25">
      <c r="B53" s="44" t="str">
        <f>CONCATENATE("3.",Prüfkriterien_3[[#This Row],[Spalte2]])</f>
        <v>3.7</v>
      </c>
      <c r="C53" s="45">
        <f>ROW()-ROW(Prüfkriterien_3[[#Headers],[Spalte3]])</f>
        <v>7</v>
      </c>
      <c r="D53" s="45">
        <f>(Prüfkriterien_3[[#This Row],[Spalte2]]+30)/10</f>
        <v>3.7</v>
      </c>
      <c r="E53" s="98" t="s">
        <v>152</v>
      </c>
      <c r="F53" s="43" t="s">
        <v>266</v>
      </c>
      <c r="G53" s="43"/>
      <c r="H53" s="33"/>
      <c r="I53" s="33"/>
      <c r="J53" s="33"/>
      <c r="K53" s="33"/>
      <c r="L53" s="33"/>
      <c r="M53" s="49"/>
    </row>
    <row r="54" spans="2:13" s="53" customFormat="1" ht="63" customHeight="1" x14ac:dyDescent="0.25">
      <c r="B54" s="44" t="str">
        <f>CONCATENATE("3.",Prüfkriterien_3[[#This Row],[Spalte2]])</f>
        <v>3.8</v>
      </c>
      <c r="C54" s="45">
        <f>ROW()-ROW(Prüfkriterien_3[[#Headers],[Spalte3]])</f>
        <v>8</v>
      </c>
      <c r="D54" s="45">
        <f>(Prüfkriterien_3[[#This Row],[Spalte2]]+30)/10</f>
        <v>3.8</v>
      </c>
      <c r="E54" s="98" t="s">
        <v>152</v>
      </c>
      <c r="F54" s="43" t="s">
        <v>267</v>
      </c>
      <c r="G54" s="32"/>
      <c r="H54" s="33"/>
      <c r="I54" s="33"/>
      <c r="J54" s="33"/>
      <c r="K54" s="33"/>
      <c r="L54" s="33"/>
      <c r="M54" s="49"/>
    </row>
    <row r="55" spans="2:13" s="53" customFormat="1" ht="63" customHeight="1" x14ac:dyDescent="0.25">
      <c r="B55" s="44" t="str">
        <f>CONCATENATE("3.",Prüfkriterien_3[[#This Row],[Spalte2]])</f>
        <v>3.9</v>
      </c>
      <c r="C55" s="45">
        <f>ROW()-ROW(Prüfkriterien_3[[#Headers],[Spalte3]])</f>
        <v>9</v>
      </c>
      <c r="D55" s="45">
        <f>(Prüfkriterien_3[[#This Row],[Spalte2]]+30)/10</f>
        <v>3.9</v>
      </c>
      <c r="E55" s="98" t="s">
        <v>152</v>
      </c>
      <c r="F55" s="43" t="s">
        <v>268</v>
      </c>
      <c r="G55" s="32"/>
      <c r="H55" s="33"/>
      <c r="I55" s="33"/>
      <c r="J55" s="33"/>
      <c r="K55" s="33"/>
      <c r="L55" s="33"/>
      <c r="M55" s="49"/>
    </row>
    <row r="56" spans="2:13" s="53" customFormat="1" ht="75" customHeight="1" x14ac:dyDescent="0.25">
      <c r="B56" s="44" t="str">
        <f>CONCATENATE("3.",Prüfkriterien_3[[#This Row],[Spalte2]])</f>
        <v>3.10</v>
      </c>
      <c r="C56" s="45">
        <f>ROW()-ROW(Prüfkriterien_3[[#Headers],[Spalte3]])</f>
        <v>10</v>
      </c>
      <c r="D56" s="45">
        <f>(Prüfkriterien_3[[#This Row],[Spalte2]]+30)/10</f>
        <v>4</v>
      </c>
      <c r="E56" s="98" t="s">
        <v>154</v>
      </c>
      <c r="F56" s="43" t="s">
        <v>155</v>
      </c>
      <c r="G56" s="43" t="s">
        <v>156</v>
      </c>
      <c r="H56" s="33"/>
      <c r="I56" s="33"/>
      <c r="J56" s="33"/>
      <c r="K56" s="33"/>
      <c r="L56" s="33"/>
      <c r="M56" s="49"/>
    </row>
    <row r="57" spans="2:13" s="53" customFormat="1" ht="78.75" customHeight="1" x14ac:dyDescent="0.25">
      <c r="B57" s="44" t="str">
        <f>CONCATENATE("3.",Prüfkriterien_3[[#This Row],[Spalte2]])</f>
        <v>3.11</v>
      </c>
      <c r="C57" s="45">
        <f>ROW()-ROW(Prüfkriterien_3[[#Headers],[Spalte3]])</f>
        <v>11</v>
      </c>
      <c r="D57" s="45">
        <f>(Prüfkriterien_3[[#This Row],[Spalte2]]+30)/10</f>
        <v>4.0999999999999996</v>
      </c>
      <c r="E57" s="98" t="s">
        <v>154</v>
      </c>
      <c r="F57" s="43" t="s">
        <v>157</v>
      </c>
      <c r="G57" s="43" t="s">
        <v>279</v>
      </c>
      <c r="H57" s="33"/>
      <c r="I57" s="33"/>
      <c r="J57" s="33"/>
      <c r="K57" s="33"/>
      <c r="L57" s="33"/>
      <c r="M57" s="49"/>
    </row>
    <row r="58" spans="2:13" s="53" customFormat="1" ht="36" customHeight="1" x14ac:dyDescent="0.25">
      <c r="B58" s="56" t="str">
        <f>CONCATENATE("3.",Prüfkriterien_3[[#This Row],[Spalte2]])</f>
        <v>3.12</v>
      </c>
      <c r="C58" s="57">
        <f>ROW()-ROW(Prüfkriterien_3[[#Headers],[Spalte3]])</f>
        <v>12</v>
      </c>
      <c r="D58" s="57">
        <f>(Prüfkriterien_3[[#This Row],[Spalte2]]+30)/10</f>
        <v>4.2</v>
      </c>
      <c r="E58" s="31" t="s">
        <v>158</v>
      </c>
      <c r="F58" s="32" t="s">
        <v>159</v>
      </c>
      <c r="G58" s="32"/>
      <c r="H58" s="70"/>
      <c r="I58" s="70"/>
      <c r="J58" s="70"/>
      <c r="K58" s="70"/>
      <c r="L58" s="70"/>
      <c r="M58" s="87"/>
    </row>
    <row r="59" spans="2:13" s="53" customFormat="1" ht="36" customHeight="1" x14ac:dyDescent="0.25">
      <c r="B59" s="56" t="str">
        <f>CONCATENATE("3.",Prüfkriterien_3[[#This Row],[Spalte2]])</f>
        <v>3.13</v>
      </c>
      <c r="C59" s="57">
        <f>ROW()-ROW(Prüfkriterien_3[[#Headers],[Spalte3]])</f>
        <v>13</v>
      </c>
      <c r="D59" s="57">
        <f>(Prüfkriterien_3[[#This Row],[Spalte2]]+30)/10</f>
        <v>4.3</v>
      </c>
      <c r="E59" s="103" t="s">
        <v>158</v>
      </c>
      <c r="F59" s="104" t="s">
        <v>160</v>
      </c>
      <c r="G59" s="32"/>
      <c r="H59" s="70"/>
      <c r="I59" s="70"/>
      <c r="J59" s="70"/>
      <c r="K59" s="70"/>
      <c r="L59" s="70"/>
      <c r="M59" s="87"/>
    </row>
    <row r="60" spans="2:13" s="53" customFormat="1" ht="33.75" customHeight="1" x14ac:dyDescent="0.25">
      <c r="B60" s="56" t="str">
        <f>CONCATENATE("3.",Prüfkriterien_3[[#This Row],[Spalte2]])</f>
        <v>3.14</v>
      </c>
      <c r="C60" s="57">
        <f>ROW()-ROW(Prüfkriterien_3[[#Headers],[Spalte3]])</f>
        <v>14</v>
      </c>
      <c r="D60" s="57">
        <f>(Prüfkriterien_3[[#This Row],[Spalte2]]+30)/10</f>
        <v>4.4000000000000004</v>
      </c>
      <c r="E60" s="98" t="s">
        <v>158</v>
      </c>
      <c r="F60" s="43" t="s">
        <v>161</v>
      </c>
      <c r="G60" s="32"/>
      <c r="H60" s="70"/>
      <c r="I60" s="70"/>
      <c r="J60" s="70"/>
      <c r="K60" s="70"/>
      <c r="L60" s="70"/>
      <c r="M60" s="87"/>
    </row>
    <row r="61" spans="2:13" s="53" customFormat="1" ht="143.25" customHeight="1" x14ac:dyDescent="0.25">
      <c r="B61" s="56" t="str">
        <f>CONCATENATE("3.",Prüfkriterien_3[[#This Row],[Spalte2]])</f>
        <v>3.15</v>
      </c>
      <c r="C61" s="57">
        <f>ROW()-ROW(Prüfkriterien_3[[#Headers],[Spalte3]])</f>
        <v>15</v>
      </c>
      <c r="D61" s="57">
        <f>(Prüfkriterien_3[[#This Row],[Spalte2]]+30)/10</f>
        <v>4.5</v>
      </c>
      <c r="E61" s="98" t="s">
        <v>158</v>
      </c>
      <c r="F61" s="43" t="s">
        <v>307</v>
      </c>
      <c r="G61" s="43"/>
      <c r="H61" s="70"/>
      <c r="I61" s="70"/>
      <c r="J61" s="70"/>
      <c r="K61" s="70"/>
      <c r="L61" s="70"/>
      <c r="M61" s="87"/>
    </row>
    <row r="62" spans="2:13" hidden="1" x14ac:dyDescent="0.25">
      <c r="B62" s="173" t="s">
        <v>65</v>
      </c>
      <c r="C62" s="174"/>
      <c r="D62" s="174"/>
      <c r="E62" s="174"/>
      <c r="F62" s="174"/>
      <c r="G62" s="174"/>
      <c r="H62" s="174"/>
      <c r="I62" s="174"/>
      <c r="J62" s="174"/>
      <c r="K62" s="174"/>
      <c r="L62" s="174"/>
      <c r="M62" s="175"/>
    </row>
    <row r="63" spans="2:13" s="47" customFormat="1" hidden="1" x14ac:dyDescent="0.25">
      <c r="B63" s="44" t="s">
        <v>39</v>
      </c>
      <c r="C63" s="45" t="s">
        <v>40</v>
      </c>
      <c r="D63" s="45" t="s">
        <v>41</v>
      </c>
      <c r="E63" s="31" t="s">
        <v>42</v>
      </c>
      <c r="F63" s="32" t="s">
        <v>43</v>
      </c>
      <c r="G63" s="32" t="s">
        <v>46</v>
      </c>
      <c r="H63" s="33" t="s">
        <v>47</v>
      </c>
      <c r="I63" s="33" t="s">
        <v>48</v>
      </c>
      <c r="J63" s="33" t="s">
        <v>49</v>
      </c>
      <c r="K63" s="33" t="s">
        <v>50</v>
      </c>
      <c r="L63" s="33" t="s">
        <v>51</v>
      </c>
      <c r="M63" s="34" t="s">
        <v>52</v>
      </c>
    </row>
    <row r="64" spans="2:13" s="47" customFormat="1" hidden="1" x14ac:dyDescent="0.25">
      <c r="B64" s="44" t="str">
        <f>CONCATENATE("4.",Prüfkriterien_4[[#This Row],[Spalte2]])</f>
        <v>4.1</v>
      </c>
      <c r="C64" s="45">
        <f>ROW()-ROW(Prüfkriterien_4[[#Headers],[Spalte3]])</f>
        <v>1</v>
      </c>
      <c r="D64" s="45">
        <f>(Prüfkriterien_4[Spalte2]+40)/10</f>
        <v>4.0999999999999996</v>
      </c>
      <c r="E64" s="31"/>
      <c r="F64" s="32"/>
      <c r="G64" s="32"/>
      <c r="H64" s="70"/>
      <c r="I64" s="70"/>
      <c r="J64" s="70"/>
      <c r="K64" s="70"/>
      <c r="L64" s="70"/>
      <c r="M64" s="49"/>
    </row>
    <row r="65" spans="2:13" s="47" customFormat="1" hidden="1" x14ac:dyDescent="0.25">
      <c r="B65" s="56" t="str">
        <f>CONCATENATE("4.",Prüfkriterien_4[[#This Row],[Spalte2]])</f>
        <v>4.2</v>
      </c>
      <c r="C65" s="57">
        <f>ROW()-ROW(Prüfkriterien_4[[#Headers],[Spalte3]])</f>
        <v>2</v>
      </c>
      <c r="D65" s="57">
        <f>(Prüfkriterien_4[Spalte2]+40)/10</f>
        <v>4.2</v>
      </c>
      <c r="E65" s="58"/>
      <c r="F65" s="59"/>
      <c r="G65" s="59"/>
      <c r="H65" s="70"/>
      <c r="I65" s="70"/>
      <c r="J65" s="70"/>
      <c r="K65" s="70"/>
      <c r="L65" s="70"/>
      <c r="M65" s="87"/>
    </row>
    <row r="66" spans="2:13" s="47" customFormat="1" hidden="1" x14ac:dyDescent="0.25">
      <c r="B66" s="56" t="str">
        <f>CONCATENATE("4.",Prüfkriterien_4[[#This Row],[Spalte2]])</f>
        <v>4.3</v>
      </c>
      <c r="C66" s="57">
        <f>ROW()-ROW(Prüfkriterien_4[[#Headers],[Spalte3]])</f>
        <v>3</v>
      </c>
      <c r="D66" s="57">
        <f>(Prüfkriterien_4[Spalte2]+40)/10</f>
        <v>4.3</v>
      </c>
      <c r="E66" s="58"/>
      <c r="F66" s="59"/>
      <c r="G66" s="59"/>
      <c r="H66" s="70"/>
      <c r="I66" s="70"/>
      <c r="J66" s="70"/>
      <c r="K66" s="70"/>
      <c r="L66" s="70"/>
      <c r="M66" s="87"/>
    </row>
    <row r="67" spans="2:13" s="47" customFormat="1" hidden="1" x14ac:dyDescent="0.25">
      <c r="B67" s="56" t="str">
        <f>CONCATENATE("4.",Prüfkriterien_4[[#This Row],[Spalte2]])</f>
        <v>4.4</v>
      </c>
      <c r="C67" s="57">
        <f>ROW()-ROW(Prüfkriterien_4[[#Headers],[Spalte3]])</f>
        <v>4</v>
      </c>
      <c r="D67" s="57">
        <f>(Prüfkriterien_4[Spalte2]+40)/10</f>
        <v>4.4000000000000004</v>
      </c>
      <c r="E67" s="58"/>
      <c r="F67" s="59"/>
      <c r="G67" s="59"/>
      <c r="H67" s="70"/>
      <c r="I67" s="70"/>
      <c r="J67" s="70"/>
      <c r="K67" s="70"/>
      <c r="L67" s="70"/>
      <c r="M67" s="87"/>
    </row>
    <row r="68" spans="2:13" s="47" customFormat="1" hidden="1" x14ac:dyDescent="0.25">
      <c r="B68" s="56" t="str">
        <f>CONCATENATE("4.",Prüfkriterien_4[[#This Row],[Spalte2]])</f>
        <v>4.5</v>
      </c>
      <c r="C68" s="57">
        <f>ROW()-ROW(Prüfkriterien_4[[#Headers],[Spalte3]])</f>
        <v>5</v>
      </c>
      <c r="D68" s="57">
        <f>(Prüfkriterien_4[Spalte2]+40)/10</f>
        <v>4.5</v>
      </c>
      <c r="E68" s="58"/>
      <c r="F68" s="59"/>
      <c r="G68" s="59"/>
      <c r="H68" s="70"/>
      <c r="I68" s="70"/>
      <c r="J68" s="70"/>
      <c r="K68" s="70"/>
      <c r="L68" s="70"/>
      <c r="M68" s="87"/>
    </row>
    <row r="69" spans="2:13" hidden="1" x14ac:dyDescent="0.25">
      <c r="B69" s="173" t="s">
        <v>66</v>
      </c>
      <c r="C69" s="174"/>
      <c r="D69" s="174"/>
      <c r="E69" s="174"/>
      <c r="F69" s="174"/>
      <c r="G69" s="174"/>
      <c r="H69" s="174"/>
      <c r="I69" s="174"/>
      <c r="J69" s="174"/>
      <c r="K69" s="174"/>
      <c r="L69" s="174"/>
      <c r="M69" s="175"/>
    </row>
    <row r="70" spans="2:13" s="47" customFormat="1" hidden="1" x14ac:dyDescent="0.25">
      <c r="B70" s="44" t="s">
        <v>39</v>
      </c>
      <c r="C70" s="45" t="s">
        <v>40</v>
      </c>
      <c r="D70" s="45" t="s">
        <v>41</v>
      </c>
      <c r="E70" s="31" t="s">
        <v>42</v>
      </c>
      <c r="F70" s="32" t="s">
        <v>43</v>
      </c>
      <c r="G70" s="32" t="s">
        <v>46</v>
      </c>
      <c r="H70" s="33" t="s">
        <v>47</v>
      </c>
      <c r="I70" s="33" t="s">
        <v>48</v>
      </c>
      <c r="J70" s="33" t="s">
        <v>49</v>
      </c>
      <c r="K70" s="33" t="s">
        <v>50</v>
      </c>
      <c r="L70" s="33" t="s">
        <v>51</v>
      </c>
      <c r="M70" s="34" t="s">
        <v>52</v>
      </c>
    </row>
    <row r="71" spans="2:13" s="47" customFormat="1" hidden="1" x14ac:dyDescent="0.25">
      <c r="B71" s="44" t="str">
        <f>CONCATENATE("5.",Prüfkriterien_5[[#This Row],[Spalte2]])</f>
        <v>5.1</v>
      </c>
      <c r="C71" s="45">
        <f>ROW()-ROW(Prüfkriterien_5[[#Headers],[Spalte3]])</f>
        <v>1</v>
      </c>
      <c r="D71" s="45">
        <f>(Prüfkriterien_5[Spalte2]+50)/10</f>
        <v>5.0999999999999996</v>
      </c>
      <c r="E71" s="31"/>
      <c r="F71" s="32"/>
      <c r="G71" s="32"/>
      <c r="H71" s="70"/>
      <c r="I71" s="70"/>
      <c r="J71" s="70"/>
      <c r="K71" s="70"/>
      <c r="L71" s="70"/>
      <c r="M71" s="49"/>
    </row>
    <row r="72" spans="2:13" s="47" customFormat="1" hidden="1" x14ac:dyDescent="0.25">
      <c r="B72" s="56" t="str">
        <f>CONCATENATE("5.",Prüfkriterien_5[[#This Row],[Spalte2]])</f>
        <v>5.2</v>
      </c>
      <c r="C72" s="57">
        <f>ROW()-ROW(Prüfkriterien_5[[#Headers],[Spalte3]])</f>
        <v>2</v>
      </c>
      <c r="D72" s="57">
        <f>(Prüfkriterien_5[Spalte2]+50)/10</f>
        <v>5.2</v>
      </c>
      <c r="E72" s="58"/>
      <c r="F72" s="59"/>
      <c r="G72" s="59"/>
      <c r="H72" s="70"/>
      <c r="I72" s="70"/>
      <c r="J72" s="70"/>
      <c r="K72" s="70"/>
      <c r="L72" s="70"/>
      <c r="M72" s="87"/>
    </row>
    <row r="73" spans="2:13" s="47" customFormat="1" hidden="1" x14ac:dyDescent="0.25">
      <c r="B73" s="44" t="str">
        <f>CONCATENATE("5.",Prüfkriterien_5[[#This Row],[Spalte2]])</f>
        <v>5.3</v>
      </c>
      <c r="C73" s="45">
        <f>ROW()-ROW(Prüfkriterien_5[[#Headers],[Spalte3]])</f>
        <v>3</v>
      </c>
      <c r="D73" s="45">
        <f>(Prüfkriterien_5[Spalte2]+50)/10</f>
        <v>5.3</v>
      </c>
      <c r="E73" s="31"/>
      <c r="F73" s="32"/>
      <c r="G73" s="32"/>
      <c r="H73" s="70"/>
      <c r="I73" s="70"/>
      <c r="J73" s="70"/>
      <c r="K73" s="70"/>
      <c r="L73" s="70"/>
      <c r="M73" s="49"/>
    </row>
    <row r="74" spans="2:13" s="47" customFormat="1" hidden="1" x14ac:dyDescent="0.25">
      <c r="B74" s="44" t="str">
        <f>CONCATENATE("5.",Prüfkriterien_5[[#This Row],[Spalte2]])</f>
        <v>5.4</v>
      </c>
      <c r="C74" s="45">
        <f>ROW()-ROW(Prüfkriterien_5[[#Headers],[Spalte3]])</f>
        <v>4</v>
      </c>
      <c r="D74" s="45">
        <f>(Prüfkriterien_5[Spalte2]+50)/10</f>
        <v>5.4</v>
      </c>
      <c r="E74" s="31"/>
      <c r="F74" s="32"/>
      <c r="G74" s="32"/>
      <c r="H74" s="70"/>
      <c r="I74" s="70"/>
      <c r="J74" s="70"/>
      <c r="K74" s="70"/>
      <c r="L74" s="70"/>
      <c r="M74" s="49"/>
    </row>
    <row r="75" spans="2:13" s="47" customFormat="1" hidden="1" x14ac:dyDescent="0.25">
      <c r="B75" s="56" t="str">
        <f>CONCATENATE("5.",Prüfkriterien_5[[#This Row],[Spalte2]])</f>
        <v>5.5</v>
      </c>
      <c r="C75" s="57">
        <f>ROW()-ROW(Prüfkriterien_5[[#Headers],[Spalte3]])</f>
        <v>5</v>
      </c>
      <c r="D75" s="57">
        <f>(Prüfkriterien_5[Spalte2]+50)/10</f>
        <v>5.5</v>
      </c>
      <c r="E75" s="58"/>
      <c r="F75" s="59"/>
      <c r="G75" s="59"/>
      <c r="H75" s="70"/>
      <c r="I75" s="70"/>
      <c r="J75" s="70"/>
      <c r="K75" s="70"/>
      <c r="L75" s="70"/>
      <c r="M75" s="87"/>
    </row>
    <row r="76" spans="2:13" hidden="1" x14ac:dyDescent="0.25">
      <c r="B76" s="173" t="s">
        <v>67</v>
      </c>
      <c r="C76" s="174"/>
      <c r="D76" s="174"/>
      <c r="E76" s="174"/>
      <c r="F76" s="174"/>
      <c r="G76" s="174"/>
      <c r="H76" s="174"/>
      <c r="I76" s="174"/>
      <c r="J76" s="174"/>
      <c r="K76" s="174"/>
      <c r="L76" s="174"/>
      <c r="M76" s="175"/>
    </row>
    <row r="77" spans="2:13" s="47" customFormat="1" hidden="1" x14ac:dyDescent="0.25">
      <c r="B77" s="44" t="s">
        <v>39</v>
      </c>
      <c r="C77" s="45" t="s">
        <v>40</v>
      </c>
      <c r="D77" s="45" t="s">
        <v>41</v>
      </c>
      <c r="E77" s="31" t="s">
        <v>42</v>
      </c>
      <c r="F77" s="32" t="s">
        <v>43</v>
      </c>
      <c r="G77" s="32" t="s">
        <v>46</v>
      </c>
      <c r="H77" s="33" t="s">
        <v>47</v>
      </c>
      <c r="I77" s="33" t="s">
        <v>48</v>
      </c>
      <c r="J77" s="33" t="s">
        <v>49</v>
      </c>
      <c r="K77" s="33" t="s">
        <v>50</v>
      </c>
      <c r="L77" s="33" t="s">
        <v>51</v>
      </c>
      <c r="M77" s="34" t="s">
        <v>52</v>
      </c>
    </row>
    <row r="78" spans="2:13" s="47" customFormat="1" hidden="1" x14ac:dyDescent="0.25">
      <c r="B78" s="44" t="str">
        <f>CONCATENATE("6.",Prüfkriterien_6[[#This Row],[Spalte2]])</f>
        <v>6.1</v>
      </c>
      <c r="C78" s="45">
        <f>ROW()-ROW(Prüfkriterien_6[[#Headers],[Spalte3]])</f>
        <v>1</v>
      </c>
      <c r="D78" s="45">
        <f>(Prüfkriterien_6[Spalte2]+60)/10</f>
        <v>6.1</v>
      </c>
      <c r="E78" s="31"/>
      <c r="F78" s="32"/>
      <c r="G78" s="32"/>
      <c r="H78" s="70"/>
      <c r="I78" s="70"/>
      <c r="J78" s="70"/>
      <c r="K78" s="70"/>
      <c r="L78" s="70"/>
      <c r="M78" s="49"/>
    </row>
    <row r="79" spans="2:13" s="47" customFormat="1" hidden="1" x14ac:dyDescent="0.25">
      <c r="B79" s="56" t="str">
        <f>CONCATENATE("6.",Prüfkriterien_6[[#This Row],[Spalte2]])</f>
        <v>6.2</v>
      </c>
      <c r="C79" s="57">
        <f>ROW()-ROW(Prüfkriterien_6[[#Headers],[Spalte3]])</f>
        <v>2</v>
      </c>
      <c r="D79" s="57">
        <f>(Prüfkriterien_6[Spalte2]+60)/10</f>
        <v>6.2</v>
      </c>
      <c r="E79" s="58"/>
      <c r="F79" s="59"/>
      <c r="G79" s="59"/>
      <c r="H79" s="70"/>
      <c r="I79" s="70"/>
      <c r="J79" s="70"/>
      <c r="K79" s="70"/>
      <c r="L79" s="70"/>
      <c r="M79" s="87"/>
    </row>
    <row r="80" spans="2:13" s="47" customFormat="1" hidden="1" x14ac:dyDescent="0.25">
      <c r="B80" s="44" t="str">
        <f>CONCATENATE("6.",Prüfkriterien_6[[#This Row],[Spalte2]])</f>
        <v>6.3</v>
      </c>
      <c r="C80" s="45">
        <f>ROW()-ROW(Prüfkriterien_6[[#Headers],[Spalte3]])</f>
        <v>3</v>
      </c>
      <c r="D80" s="45">
        <f>(Prüfkriterien_6[Spalte2]+60)/10</f>
        <v>6.3</v>
      </c>
      <c r="E80" s="31"/>
      <c r="F80" s="32"/>
      <c r="G80" s="32"/>
      <c r="H80" s="70"/>
      <c r="I80" s="70"/>
      <c r="J80" s="70"/>
      <c r="K80" s="70"/>
      <c r="L80" s="70"/>
      <c r="M80" s="49"/>
    </row>
    <row r="81" spans="2:13" s="47" customFormat="1" hidden="1" x14ac:dyDescent="0.25">
      <c r="B81" s="44" t="str">
        <f>CONCATENATE("6.",Prüfkriterien_6[[#This Row],[Spalte2]])</f>
        <v>6.4</v>
      </c>
      <c r="C81" s="45">
        <f>ROW()-ROW(Prüfkriterien_6[[#Headers],[Spalte3]])</f>
        <v>4</v>
      </c>
      <c r="D81" s="45">
        <f>(Prüfkriterien_6[Spalte2]+60)/10</f>
        <v>6.4</v>
      </c>
      <c r="E81" s="31"/>
      <c r="F81" s="32"/>
      <c r="G81" s="32"/>
      <c r="H81" s="70"/>
      <c r="I81" s="70"/>
      <c r="J81" s="70"/>
      <c r="K81" s="70"/>
      <c r="L81" s="70"/>
      <c r="M81" s="49"/>
    </row>
    <row r="82" spans="2:13" s="47" customFormat="1" hidden="1" x14ac:dyDescent="0.25">
      <c r="B82" s="56" t="str">
        <f>CONCATENATE("6.",Prüfkriterien_6[[#This Row],[Spalte2]])</f>
        <v>6.5</v>
      </c>
      <c r="C82" s="57">
        <f>ROW()-ROW(Prüfkriterien_6[[#Headers],[Spalte3]])</f>
        <v>5</v>
      </c>
      <c r="D82" s="57">
        <f>(Prüfkriterien_6[Spalte2]+60)/10</f>
        <v>6.5</v>
      </c>
      <c r="E82" s="58"/>
      <c r="F82" s="59"/>
      <c r="G82" s="59"/>
      <c r="H82" s="70"/>
      <c r="I82" s="70"/>
      <c r="J82" s="70"/>
      <c r="K82" s="70"/>
      <c r="L82" s="70"/>
      <c r="M82" s="87"/>
    </row>
    <row r="83" spans="2:13" hidden="1" x14ac:dyDescent="0.25">
      <c r="B83" s="173" t="s">
        <v>68</v>
      </c>
      <c r="C83" s="174"/>
      <c r="D83" s="174"/>
      <c r="E83" s="174"/>
      <c r="F83" s="174"/>
      <c r="G83" s="174"/>
      <c r="H83" s="174"/>
      <c r="I83" s="174"/>
      <c r="J83" s="174"/>
      <c r="K83" s="174"/>
      <c r="L83" s="174"/>
      <c r="M83" s="175"/>
    </row>
    <row r="84" spans="2:13" s="47" customFormat="1" hidden="1" x14ac:dyDescent="0.25">
      <c r="B84" s="44" t="s">
        <v>39</v>
      </c>
      <c r="C84" s="45" t="s">
        <v>40</v>
      </c>
      <c r="D84" s="45" t="s">
        <v>41</v>
      </c>
      <c r="E84" s="31" t="s">
        <v>42</v>
      </c>
      <c r="F84" s="32" t="s">
        <v>43</v>
      </c>
      <c r="G84" s="32" t="s">
        <v>46</v>
      </c>
      <c r="H84" s="33" t="s">
        <v>47</v>
      </c>
      <c r="I84" s="33" t="s">
        <v>48</v>
      </c>
      <c r="J84" s="33" t="s">
        <v>49</v>
      </c>
      <c r="K84" s="33" t="s">
        <v>50</v>
      </c>
      <c r="L84" s="33" t="s">
        <v>51</v>
      </c>
      <c r="M84" s="34" t="s">
        <v>52</v>
      </c>
    </row>
    <row r="85" spans="2:13" s="47" customFormat="1" hidden="1" x14ac:dyDescent="0.25">
      <c r="B85" s="44" t="str">
        <f>CONCATENATE("7.",Prüfkriterien_7[[#This Row],[Spalte2]])</f>
        <v>7.1</v>
      </c>
      <c r="C85" s="45">
        <f>ROW()-ROW(Prüfkriterien_7[[#Headers],[Spalte3]])</f>
        <v>1</v>
      </c>
      <c r="D85" s="45">
        <f>(Prüfkriterien_7[Spalte2]+70)/10</f>
        <v>7.1</v>
      </c>
      <c r="E85" s="31"/>
      <c r="F85" s="32"/>
      <c r="G85" s="32"/>
      <c r="H85" s="70"/>
      <c r="I85" s="70"/>
      <c r="J85" s="70"/>
      <c r="K85" s="70"/>
      <c r="L85" s="70"/>
      <c r="M85" s="49"/>
    </row>
    <row r="86" spans="2:13" s="47" customFormat="1" hidden="1" x14ac:dyDescent="0.25">
      <c r="B86" s="56" t="str">
        <f>CONCATENATE("7.",Prüfkriterien_7[[#This Row],[Spalte2]])</f>
        <v>7.2</v>
      </c>
      <c r="C86" s="57">
        <f>ROW()-ROW(Prüfkriterien_7[[#Headers],[Spalte3]])</f>
        <v>2</v>
      </c>
      <c r="D86" s="57">
        <f>(Prüfkriterien_7[Spalte2]+70)/10</f>
        <v>7.2</v>
      </c>
      <c r="E86" s="58"/>
      <c r="F86" s="59"/>
      <c r="G86" s="59"/>
      <c r="H86" s="70"/>
      <c r="I86" s="70"/>
      <c r="J86" s="70"/>
      <c r="K86" s="70"/>
      <c r="L86" s="70"/>
      <c r="M86" s="87"/>
    </row>
    <row r="87" spans="2:13" s="47" customFormat="1" hidden="1" x14ac:dyDescent="0.25">
      <c r="B87" s="44" t="str">
        <f>CONCATENATE("7.",Prüfkriterien_7[[#This Row],[Spalte2]])</f>
        <v>7.3</v>
      </c>
      <c r="C87" s="45">
        <f>ROW()-ROW(Prüfkriterien_7[[#Headers],[Spalte3]])</f>
        <v>3</v>
      </c>
      <c r="D87" s="45">
        <f>(Prüfkriterien_7[Spalte2]+70)/10</f>
        <v>7.3</v>
      </c>
      <c r="E87" s="31"/>
      <c r="F87" s="32"/>
      <c r="G87" s="32"/>
      <c r="H87" s="70"/>
      <c r="I87" s="70"/>
      <c r="J87" s="70"/>
      <c r="K87" s="70"/>
      <c r="L87" s="70"/>
      <c r="M87" s="49"/>
    </row>
    <row r="88" spans="2:13" s="47" customFormat="1" hidden="1" x14ac:dyDescent="0.25">
      <c r="B88" s="44" t="str">
        <f>CONCATENATE("7.",Prüfkriterien_7[[#This Row],[Spalte2]])</f>
        <v>7.4</v>
      </c>
      <c r="C88" s="45">
        <f>ROW()-ROW(Prüfkriterien_7[[#Headers],[Spalte3]])</f>
        <v>4</v>
      </c>
      <c r="D88" s="45">
        <f>(Prüfkriterien_7[Spalte2]+70)/10</f>
        <v>7.4</v>
      </c>
      <c r="E88" s="31"/>
      <c r="F88" s="32"/>
      <c r="G88" s="32"/>
      <c r="H88" s="70"/>
      <c r="I88" s="70"/>
      <c r="J88" s="70"/>
      <c r="K88" s="70"/>
      <c r="L88" s="70"/>
      <c r="M88" s="49"/>
    </row>
    <row r="89" spans="2:13" s="47" customFormat="1" hidden="1" x14ac:dyDescent="0.25">
      <c r="B89" s="56" t="str">
        <f>CONCATENATE("7.",Prüfkriterien_7[[#This Row],[Spalte2]])</f>
        <v>7.5</v>
      </c>
      <c r="C89" s="57">
        <f>ROW()-ROW(Prüfkriterien_7[[#Headers],[Spalte3]])</f>
        <v>5</v>
      </c>
      <c r="D89" s="57">
        <f>(Prüfkriterien_7[Spalte2]+70)/10</f>
        <v>7.5</v>
      </c>
      <c r="E89" s="58"/>
      <c r="F89" s="59"/>
      <c r="G89" s="59"/>
      <c r="H89" s="70"/>
      <c r="I89" s="70"/>
      <c r="J89" s="70"/>
      <c r="K89" s="70"/>
      <c r="L89" s="70"/>
      <c r="M89" s="87"/>
    </row>
    <row r="90" spans="2:13" hidden="1" x14ac:dyDescent="0.25">
      <c r="B90" s="173" t="s">
        <v>69</v>
      </c>
      <c r="C90" s="174"/>
      <c r="D90" s="174"/>
      <c r="E90" s="174"/>
      <c r="F90" s="174"/>
      <c r="G90" s="174"/>
      <c r="H90" s="174"/>
      <c r="I90" s="174"/>
      <c r="J90" s="174"/>
      <c r="K90" s="174"/>
      <c r="L90" s="174"/>
      <c r="M90" s="175"/>
    </row>
    <row r="91" spans="2:13" s="47" customFormat="1" hidden="1" x14ac:dyDescent="0.25">
      <c r="B91" s="44" t="s">
        <v>39</v>
      </c>
      <c r="C91" s="45" t="s">
        <v>40</v>
      </c>
      <c r="D91" s="45" t="s">
        <v>41</v>
      </c>
      <c r="E91" s="31" t="s">
        <v>42</v>
      </c>
      <c r="F91" s="32" t="s">
        <v>43</v>
      </c>
      <c r="G91" s="32" t="s">
        <v>46</v>
      </c>
      <c r="H91" s="33" t="s">
        <v>47</v>
      </c>
      <c r="I91" s="33" t="s">
        <v>48</v>
      </c>
      <c r="J91" s="33" t="s">
        <v>49</v>
      </c>
      <c r="K91" s="33" t="s">
        <v>50</v>
      </c>
      <c r="L91" s="33" t="s">
        <v>51</v>
      </c>
      <c r="M91" s="34" t="s">
        <v>52</v>
      </c>
    </row>
    <row r="92" spans="2:13" s="47" customFormat="1" hidden="1" x14ac:dyDescent="0.25">
      <c r="B92" s="44" t="str">
        <f>CONCATENATE("8.",Prüfkriterien_8[[#This Row],[Spalte2]])</f>
        <v>8.1</v>
      </c>
      <c r="C92" s="45">
        <f>ROW()-ROW(Prüfkriterien_8[[#Headers],[Spalte3]])</f>
        <v>1</v>
      </c>
      <c r="D92" s="45">
        <f>(Prüfkriterien_8[Spalte2]+80)/10</f>
        <v>8.1</v>
      </c>
      <c r="E92" s="31"/>
      <c r="F92" s="32"/>
      <c r="G92" s="32"/>
      <c r="H92" s="70"/>
      <c r="I92" s="70"/>
      <c r="J92" s="70"/>
      <c r="K92" s="70"/>
      <c r="L92" s="70"/>
      <c r="M92" s="49"/>
    </row>
    <row r="93" spans="2:13" s="47" customFormat="1" hidden="1" x14ac:dyDescent="0.25">
      <c r="B93" s="56" t="str">
        <f>CONCATENATE("8.",Prüfkriterien_8[[#This Row],[Spalte2]])</f>
        <v>8.2</v>
      </c>
      <c r="C93" s="57">
        <f>ROW()-ROW(Prüfkriterien_8[[#Headers],[Spalte3]])</f>
        <v>2</v>
      </c>
      <c r="D93" s="57">
        <f>(Prüfkriterien_8[Spalte2]+80)/10</f>
        <v>8.1999999999999993</v>
      </c>
      <c r="E93" s="58"/>
      <c r="F93" s="59"/>
      <c r="G93" s="59"/>
      <c r="H93" s="70"/>
      <c r="I93" s="70"/>
      <c r="J93" s="70"/>
      <c r="K93" s="70"/>
      <c r="L93" s="70"/>
      <c r="M93" s="87"/>
    </row>
    <row r="94" spans="2:13" s="47" customFormat="1" hidden="1" x14ac:dyDescent="0.25">
      <c r="B94" s="44" t="str">
        <f>CONCATENATE("8.",Prüfkriterien_8[[#This Row],[Spalte2]])</f>
        <v>8.3</v>
      </c>
      <c r="C94" s="45">
        <f>ROW()-ROW(Prüfkriterien_8[[#Headers],[Spalte3]])</f>
        <v>3</v>
      </c>
      <c r="D94" s="45">
        <f>(Prüfkriterien_8[Spalte2]+80)/10</f>
        <v>8.3000000000000007</v>
      </c>
      <c r="E94" s="31"/>
      <c r="F94" s="32"/>
      <c r="G94" s="32"/>
      <c r="H94" s="70"/>
      <c r="I94" s="70"/>
      <c r="J94" s="70"/>
      <c r="K94" s="70"/>
      <c r="L94" s="70"/>
      <c r="M94" s="49"/>
    </row>
    <row r="95" spans="2:13" s="47" customFormat="1" hidden="1" x14ac:dyDescent="0.25">
      <c r="B95" s="44" t="str">
        <f>CONCATENATE("8.",Prüfkriterien_8[[#This Row],[Spalte2]])</f>
        <v>8.4</v>
      </c>
      <c r="C95" s="45">
        <f>ROW()-ROW(Prüfkriterien_8[[#Headers],[Spalte3]])</f>
        <v>4</v>
      </c>
      <c r="D95" s="45">
        <f>(Prüfkriterien_8[Spalte2]+80)/10</f>
        <v>8.4</v>
      </c>
      <c r="E95" s="31"/>
      <c r="F95" s="32"/>
      <c r="G95" s="32"/>
      <c r="H95" s="70"/>
      <c r="I95" s="70"/>
      <c r="J95" s="70"/>
      <c r="K95" s="70"/>
      <c r="L95" s="70"/>
      <c r="M95" s="49"/>
    </row>
    <row r="96" spans="2:13" s="47" customFormat="1" hidden="1" x14ac:dyDescent="0.25">
      <c r="B96" s="56" t="str">
        <f>CONCATENATE("8.",Prüfkriterien_8[[#This Row],[Spalte2]])</f>
        <v>8.5</v>
      </c>
      <c r="C96" s="57">
        <f>ROW()-ROW(Prüfkriterien_8[[#Headers],[Spalte3]])</f>
        <v>5</v>
      </c>
      <c r="D96" s="57">
        <f>(Prüfkriterien_8[Spalte2]+80)/10</f>
        <v>8.5</v>
      </c>
      <c r="E96" s="58"/>
      <c r="F96" s="59"/>
      <c r="G96" s="59"/>
      <c r="H96" s="70"/>
      <c r="I96" s="70"/>
      <c r="J96" s="70"/>
      <c r="K96" s="70"/>
      <c r="L96" s="70"/>
      <c r="M96" s="87"/>
    </row>
    <row r="97" spans="2:13" hidden="1" x14ac:dyDescent="0.25">
      <c r="B97" s="173" t="s">
        <v>70</v>
      </c>
      <c r="C97" s="174"/>
      <c r="D97" s="174"/>
      <c r="E97" s="174"/>
      <c r="F97" s="174"/>
      <c r="G97" s="174"/>
      <c r="H97" s="174"/>
      <c r="I97" s="174"/>
      <c r="J97" s="174"/>
      <c r="K97" s="174"/>
      <c r="L97" s="174"/>
      <c r="M97" s="175"/>
    </row>
    <row r="98" spans="2:13" s="47" customFormat="1" hidden="1" x14ac:dyDescent="0.25">
      <c r="B98" s="44" t="s">
        <v>39</v>
      </c>
      <c r="C98" s="45" t="s">
        <v>40</v>
      </c>
      <c r="D98" s="45" t="s">
        <v>41</v>
      </c>
      <c r="E98" s="31" t="s">
        <v>42</v>
      </c>
      <c r="F98" s="32" t="s">
        <v>43</v>
      </c>
      <c r="G98" s="32" t="s">
        <v>46</v>
      </c>
      <c r="H98" s="33" t="s">
        <v>47</v>
      </c>
      <c r="I98" s="33" t="s">
        <v>48</v>
      </c>
      <c r="J98" s="33" t="s">
        <v>49</v>
      </c>
      <c r="K98" s="33" t="s">
        <v>50</v>
      </c>
      <c r="L98" s="33" t="s">
        <v>51</v>
      </c>
      <c r="M98" s="34" t="s">
        <v>52</v>
      </c>
    </row>
    <row r="99" spans="2:13" s="47" customFormat="1" hidden="1" x14ac:dyDescent="0.25">
      <c r="B99" s="44" t="str">
        <f>CONCATENATE("9.",Prüfkriterien_9[[#This Row],[Spalte2]])</f>
        <v>9.1</v>
      </c>
      <c r="C99" s="45">
        <f>ROW()-ROW(Prüfkriterien_9[[#Headers],[Spalte3]])</f>
        <v>1</v>
      </c>
      <c r="D99" s="45">
        <f>(Prüfkriterien_9[Spalte2]+90)/10</f>
        <v>9.1</v>
      </c>
      <c r="E99" s="31"/>
      <c r="F99" s="32"/>
      <c r="G99" s="32"/>
      <c r="H99" s="70"/>
      <c r="I99" s="70"/>
      <c r="J99" s="70"/>
      <c r="K99" s="70"/>
      <c r="L99" s="70"/>
      <c r="M99" s="49"/>
    </row>
    <row r="100" spans="2:13" s="47" customFormat="1" hidden="1" x14ac:dyDescent="0.25">
      <c r="B100" s="56" t="str">
        <f>CONCATENATE("9.",Prüfkriterien_9[[#This Row],[Spalte2]])</f>
        <v>9.2</v>
      </c>
      <c r="C100" s="57">
        <f>ROW()-ROW(Prüfkriterien_9[[#Headers],[Spalte3]])</f>
        <v>2</v>
      </c>
      <c r="D100" s="57">
        <f>(Prüfkriterien_9[Spalte2]+90)/10</f>
        <v>9.1999999999999993</v>
      </c>
      <c r="E100" s="58"/>
      <c r="F100" s="59"/>
      <c r="G100" s="59"/>
      <c r="H100" s="70"/>
      <c r="I100" s="70"/>
      <c r="J100" s="70"/>
      <c r="K100" s="70"/>
      <c r="L100" s="70"/>
      <c r="M100" s="87"/>
    </row>
    <row r="101" spans="2:13" s="47" customFormat="1" hidden="1" x14ac:dyDescent="0.25">
      <c r="B101" s="44" t="str">
        <f>CONCATENATE("9.",Prüfkriterien_9[[#This Row],[Spalte2]])</f>
        <v>9.3</v>
      </c>
      <c r="C101" s="45">
        <f>ROW()-ROW(Prüfkriterien_9[[#Headers],[Spalte3]])</f>
        <v>3</v>
      </c>
      <c r="D101" s="45">
        <f>(Prüfkriterien_9[Spalte2]+90)/10</f>
        <v>9.3000000000000007</v>
      </c>
      <c r="E101" s="31"/>
      <c r="F101" s="32"/>
      <c r="G101" s="32"/>
      <c r="H101" s="70"/>
      <c r="I101" s="70"/>
      <c r="J101" s="70"/>
      <c r="K101" s="70"/>
      <c r="L101" s="70"/>
      <c r="M101" s="49"/>
    </row>
    <row r="102" spans="2:13" s="47" customFormat="1" hidden="1" x14ac:dyDescent="0.25">
      <c r="B102" s="44" t="str">
        <f>CONCATENATE("9.",Prüfkriterien_9[[#This Row],[Spalte2]])</f>
        <v>9.4</v>
      </c>
      <c r="C102" s="45">
        <f>ROW()-ROW(Prüfkriterien_9[[#Headers],[Spalte3]])</f>
        <v>4</v>
      </c>
      <c r="D102" s="45">
        <f>(Prüfkriterien_9[Spalte2]+90)/10</f>
        <v>9.4</v>
      </c>
      <c r="E102" s="31"/>
      <c r="F102" s="32"/>
      <c r="G102" s="32"/>
      <c r="H102" s="70"/>
      <c r="I102" s="70"/>
      <c r="J102" s="70"/>
      <c r="K102" s="70"/>
      <c r="L102" s="70"/>
      <c r="M102" s="49"/>
    </row>
    <row r="103" spans="2:13" s="47" customFormat="1" hidden="1" x14ac:dyDescent="0.25">
      <c r="B103" s="56" t="str">
        <f>CONCATENATE("9.",Prüfkriterien_9[[#This Row],[Spalte2]])</f>
        <v>9.5</v>
      </c>
      <c r="C103" s="57">
        <f>ROW()-ROW(Prüfkriterien_9[[#Headers],[Spalte3]])</f>
        <v>5</v>
      </c>
      <c r="D103" s="57">
        <f>(Prüfkriterien_9[Spalte2]+90)/10</f>
        <v>9.5</v>
      </c>
      <c r="E103" s="58"/>
      <c r="F103" s="59"/>
      <c r="G103" s="59"/>
      <c r="H103" s="70"/>
      <c r="I103" s="70"/>
      <c r="J103" s="70"/>
      <c r="K103" s="70"/>
      <c r="L103" s="70"/>
      <c r="M103" s="87"/>
    </row>
    <row r="104" spans="2:13" hidden="1" x14ac:dyDescent="0.25">
      <c r="B104" s="173" t="s">
        <v>71</v>
      </c>
      <c r="C104" s="174"/>
      <c r="D104" s="174"/>
      <c r="E104" s="174"/>
      <c r="F104" s="174"/>
      <c r="G104" s="174"/>
      <c r="H104" s="174"/>
      <c r="I104" s="174"/>
      <c r="J104" s="174"/>
      <c r="K104" s="174"/>
      <c r="L104" s="174"/>
      <c r="M104" s="175"/>
    </row>
    <row r="105" spans="2:13" s="47" customFormat="1" hidden="1" x14ac:dyDescent="0.25">
      <c r="B105" s="44" t="s">
        <v>39</v>
      </c>
      <c r="C105" s="45" t="s">
        <v>40</v>
      </c>
      <c r="D105" s="45" t="s">
        <v>41</v>
      </c>
      <c r="E105" s="31" t="s">
        <v>42</v>
      </c>
      <c r="F105" s="32" t="s">
        <v>43</v>
      </c>
      <c r="G105" s="32" t="s">
        <v>46</v>
      </c>
      <c r="H105" s="33" t="s">
        <v>47</v>
      </c>
      <c r="I105" s="33" t="s">
        <v>48</v>
      </c>
      <c r="J105" s="33" t="s">
        <v>49</v>
      </c>
      <c r="K105" s="33" t="s">
        <v>50</v>
      </c>
      <c r="L105" s="33" t="s">
        <v>51</v>
      </c>
      <c r="M105" s="34" t="s">
        <v>52</v>
      </c>
    </row>
    <row r="106" spans="2:13" s="47" customFormat="1" hidden="1" x14ac:dyDescent="0.25">
      <c r="B106" s="44" t="str">
        <f>CONCATENATE("10.",Prüfkriterien_10[[#This Row],[Spalte2]])</f>
        <v>10.1</v>
      </c>
      <c r="C106" s="45">
        <f>ROW()-ROW(Prüfkriterien_10[[#Headers],[Spalte3]])</f>
        <v>1</v>
      </c>
      <c r="D106" s="45">
        <f>(Prüfkriterien_10[Spalte2]+100)/10</f>
        <v>10.1</v>
      </c>
      <c r="E106" s="31"/>
      <c r="F106" s="32"/>
      <c r="G106" s="32"/>
      <c r="H106" s="70"/>
      <c r="I106" s="70"/>
      <c r="J106" s="70"/>
      <c r="K106" s="70"/>
      <c r="L106" s="70"/>
      <c r="M106" s="49"/>
    </row>
    <row r="107" spans="2:13" s="47" customFormat="1" hidden="1" x14ac:dyDescent="0.25">
      <c r="B107" s="56" t="str">
        <f>CONCATENATE("10.",Prüfkriterien_10[[#This Row],[Spalte2]])</f>
        <v>10.2</v>
      </c>
      <c r="C107" s="57">
        <f>ROW()-ROW(Prüfkriterien_10[[#Headers],[Spalte3]])</f>
        <v>2</v>
      </c>
      <c r="D107" s="57">
        <f>(Prüfkriterien_10[Spalte2]+100)/10</f>
        <v>10.199999999999999</v>
      </c>
      <c r="E107" s="58"/>
      <c r="F107" s="59"/>
      <c r="G107" s="59"/>
      <c r="H107" s="70"/>
      <c r="I107" s="70"/>
      <c r="J107" s="70"/>
      <c r="K107" s="70"/>
      <c r="L107" s="70"/>
      <c r="M107" s="87"/>
    </row>
    <row r="108" spans="2:13" s="47" customFormat="1" hidden="1" x14ac:dyDescent="0.25">
      <c r="B108" s="44" t="str">
        <f>CONCATENATE("10.",Prüfkriterien_10[[#This Row],[Spalte2]])</f>
        <v>10.3</v>
      </c>
      <c r="C108" s="45">
        <f>ROW()-ROW(Prüfkriterien_10[[#Headers],[Spalte3]])</f>
        <v>3</v>
      </c>
      <c r="D108" s="45">
        <f>(Prüfkriterien_10[Spalte2]+100)/10</f>
        <v>10.3</v>
      </c>
      <c r="E108" s="31"/>
      <c r="F108" s="32"/>
      <c r="G108" s="32"/>
      <c r="H108" s="70"/>
      <c r="I108" s="70"/>
      <c r="J108" s="70"/>
      <c r="K108" s="70"/>
      <c r="L108" s="70"/>
      <c r="M108" s="49"/>
    </row>
    <row r="109" spans="2:13" s="47" customFormat="1" hidden="1" x14ac:dyDescent="0.25">
      <c r="B109" s="44" t="str">
        <f>CONCATENATE("10.",Prüfkriterien_10[[#This Row],[Spalte2]])</f>
        <v>10.4</v>
      </c>
      <c r="C109" s="45">
        <f>ROW()-ROW(Prüfkriterien_10[[#Headers],[Spalte3]])</f>
        <v>4</v>
      </c>
      <c r="D109" s="45">
        <f>(Prüfkriterien_10[Spalte2]+100)/10</f>
        <v>10.4</v>
      </c>
      <c r="E109" s="31"/>
      <c r="F109" s="32"/>
      <c r="G109" s="32"/>
      <c r="H109" s="70"/>
      <c r="I109" s="70"/>
      <c r="J109" s="70"/>
      <c r="K109" s="70"/>
      <c r="L109" s="70"/>
      <c r="M109" s="49"/>
    </row>
    <row r="110" spans="2:13" s="47" customFormat="1" hidden="1" x14ac:dyDescent="0.25">
      <c r="B110" s="56" t="str">
        <f>CONCATENATE("10.",Prüfkriterien_10[[#This Row],[Spalte2]])</f>
        <v>10.5</v>
      </c>
      <c r="C110" s="57">
        <f>ROW()-ROW(Prüfkriterien_10[[#Headers],[Spalte3]])</f>
        <v>5</v>
      </c>
      <c r="D110" s="57">
        <f>(Prüfkriterien_10[Spalte2]+100)/10</f>
        <v>10.5</v>
      </c>
      <c r="E110" s="58"/>
      <c r="F110" s="59"/>
      <c r="G110" s="59"/>
      <c r="H110" s="70"/>
      <c r="I110" s="70"/>
      <c r="J110" s="70"/>
      <c r="K110" s="70"/>
      <c r="L110" s="70"/>
      <c r="M110" s="87"/>
    </row>
    <row r="111" spans="2:13" hidden="1" x14ac:dyDescent="0.25">
      <c r="B111" s="173" t="s">
        <v>72</v>
      </c>
      <c r="C111" s="174"/>
      <c r="D111" s="174"/>
      <c r="E111" s="174"/>
      <c r="F111" s="174"/>
      <c r="G111" s="174"/>
      <c r="H111" s="174"/>
      <c r="I111" s="174"/>
      <c r="J111" s="174"/>
      <c r="K111" s="174"/>
      <c r="L111" s="174"/>
      <c r="M111" s="175"/>
    </row>
    <row r="112" spans="2:13" s="47" customFormat="1" hidden="1" x14ac:dyDescent="0.25">
      <c r="B112" s="44" t="s">
        <v>39</v>
      </c>
      <c r="C112" s="45" t="s">
        <v>40</v>
      </c>
      <c r="D112" s="45" t="s">
        <v>41</v>
      </c>
      <c r="E112" s="31" t="s">
        <v>42</v>
      </c>
      <c r="F112" s="32" t="s">
        <v>43</v>
      </c>
      <c r="G112" s="32" t="s">
        <v>46</v>
      </c>
      <c r="H112" s="33" t="s">
        <v>47</v>
      </c>
      <c r="I112" s="33" t="s">
        <v>48</v>
      </c>
      <c r="J112" s="33" t="s">
        <v>49</v>
      </c>
      <c r="K112" s="33" t="s">
        <v>50</v>
      </c>
      <c r="L112" s="33" t="s">
        <v>51</v>
      </c>
      <c r="M112" s="34" t="s">
        <v>52</v>
      </c>
    </row>
    <row r="113" spans="2:13" s="47" customFormat="1" hidden="1" x14ac:dyDescent="0.25">
      <c r="B113" s="44" t="str">
        <f>CONCATENATE("11.",Prüfkriterien_11[[#This Row],[Spalte2]])</f>
        <v>11.1</v>
      </c>
      <c r="C113" s="45">
        <f>ROW()-ROW(Prüfkriterien_11[[#Headers],[Spalte3]])</f>
        <v>1</v>
      </c>
      <c r="D113" s="45">
        <f>(Prüfkriterien_11[Spalte2]+110)/10</f>
        <v>11.1</v>
      </c>
      <c r="E113" s="31"/>
      <c r="F113" s="32"/>
      <c r="G113" s="32"/>
      <c r="H113" s="70"/>
      <c r="I113" s="70"/>
      <c r="J113" s="70"/>
      <c r="K113" s="70"/>
      <c r="L113" s="70"/>
      <c r="M113" s="49"/>
    </row>
    <row r="114" spans="2:13" s="47" customFormat="1" hidden="1" x14ac:dyDescent="0.25">
      <c r="B114" s="56" t="str">
        <f>CONCATENATE("11.",Prüfkriterien_11[[#This Row],[Spalte2]])</f>
        <v>11.2</v>
      </c>
      <c r="C114" s="57">
        <f>ROW()-ROW(Prüfkriterien_11[[#Headers],[Spalte3]])</f>
        <v>2</v>
      </c>
      <c r="D114" s="57">
        <f>(Prüfkriterien_11[Spalte2]+110)/10</f>
        <v>11.2</v>
      </c>
      <c r="E114" s="58"/>
      <c r="F114" s="59"/>
      <c r="G114" s="59"/>
      <c r="H114" s="70"/>
      <c r="I114" s="70"/>
      <c r="J114" s="70"/>
      <c r="K114" s="70"/>
      <c r="L114" s="70"/>
      <c r="M114" s="87"/>
    </row>
    <row r="115" spans="2:13" s="47" customFormat="1" hidden="1" x14ac:dyDescent="0.25">
      <c r="B115" s="44" t="str">
        <f>CONCATENATE("11.",Prüfkriterien_11[[#This Row],[Spalte2]])</f>
        <v>11.3</v>
      </c>
      <c r="C115" s="45">
        <f>ROW()-ROW(Prüfkriterien_11[[#Headers],[Spalte3]])</f>
        <v>3</v>
      </c>
      <c r="D115" s="45">
        <f>(Prüfkriterien_11[Spalte2]+110)/10</f>
        <v>11.3</v>
      </c>
      <c r="E115" s="31"/>
      <c r="F115" s="32"/>
      <c r="G115" s="32"/>
      <c r="H115" s="70"/>
      <c r="I115" s="70"/>
      <c r="J115" s="70"/>
      <c r="K115" s="70"/>
      <c r="L115" s="70"/>
      <c r="M115" s="49"/>
    </row>
    <row r="116" spans="2:13" s="47" customFormat="1" hidden="1" x14ac:dyDescent="0.25">
      <c r="B116" s="44" t="str">
        <f>CONCATENATE("11.",Prüfkriterien_11[[#This Row],[Spalte2]])</f>
        <v>11.4</v>
      </c>
      <c r="C116" s="45">
        <f>ROW()-ROW(Prüfkriterien_11[[#Headers],[Spalte3]])</f>
        <v>4</v>
      </c>
      <c r="D116" s="45">
        <f>(Prüfkriterien_11[Spalte2]+110)/10</f>
        <v>11.4</v>
      </c>
      <c r="E116" s="31"/>
      <c r="F116" s="32"/>
      <c r="G116" s="32"/>
      <c r="H116" s="70"/>
      <c r="I116" s="70"/>
      <c r="J116" s="70"/>
      <c r="K116" s="70"/>
      <c r="L116" s="70"/>
      <c r="M116" s="49"/>
    </row>
    <row r="117" spans="2:13" s="47" customFormat="1" hidden="1" x14ac:dyDescent="0.25">
      <c r="B117" s="56" t="str">
        <f>CONCATENATE("11.",Prüfkriterien_11[[#This Row],[Spalte2]])</f>
        <v>11.5</v>
      </c>
      <c r="C117" s="57">
        <f>ROW()-ROW(Prüfkriterien_11[[#Headers],[Spalte3]])</f>
        <v>5</v>
      </c>
      <c r="D117" s="57">
        <f>(Prüfkriterien_11[Spalte2]+110)/10</f>
        <v>11.5</v>
      </c>
      <c r="E117" s="58"/>
      <c r="F117" s="59"/>
      <c r="G117" s="59"/>
      <c r="H117" s="70"/>
      <c r="I117" s="70"/>
      <c r="J117" s="70"/>
      <c r="K117" s="70"/>
      <c r="L117" s="70"/>
      <c r="M117" s="87"/>
    </row>
    <row r="118" spans="2:13" hidden="1" x14ac:dyDescent="0.25">
      <c r="B118" s="173" t="s">
        <v>88</v>
      </c>
      <c r="C118" s="174"/>
      <c r="D118" s="174"/>
      <c r="E118" s="174"/>
      <c r="F118" s="174"/>
      <c r="G118" s="174"/>
      <c r="H118" s="174"/>
      <c r="I118" s="174"/>
      <c r="J118" s="174"/>
      <c r="K118" s="174"/>
      <c r="L118" s="174"/>
      <c r="M118" s="175"/>
    </row>
    <row r="119" spans="2:13" hidden="1" x14ac:dyDescent="0.25">
      <c r="B119" s="44" t="s">
        <v>39</v>
      </c>
      <c r="C119" s="45" t="s">
        <v>40</v>
      </c>
      <c r="D119" s="45" t="s">
        <v>41</v>
      </c>
      <c r="E119" s="31" t="s">
        <v>42</v>
      </c>
      <c r="F119" s="32" t="s">
        <v>43</v>
      </c>
      <c r="G119" s="32" t="s">
        <v>46</v>
      </c>
      <c r="H119" s="33" t="s">
        <v>47</v>
      </c>
      <c r="I119" s="33" t="s">
        <v>48</v>
      </c>
      <c r="J119" s="33" t="s">
        <v>49</v>
      </c>
      <c r="K119" s="33" t="s">
        <v>50</v>
      </c>
      <c r="L119" s="33" t="s">
        <v>51</v>
      </c>
      <c r="M119" s="34" t="s">
        <v>52</v>
      </c>
    </row>
    <row r="120" spans="2:13" hidden="1" x14ac:dyDescent="0.25">
      <c r="B120" s="44" t="str">
        <f>CONCATENATE("12.",Prüfkriterien_1113[[#This Row],[Spalte2]])</f>
        <v>12.1</v>
      </c>
      <c r="C120" s="45">
        <f>ROW()-ROW(Prüfkriterien_1113[[#Headers],[Spalte3]])</f>
        <v>1</v>
      </c>
      <c r="D120" s="45">
        <f>(Prüfkriterien_1113[Spalte2]+120)/10</f>
        <v>12.1</v>
      </c>
      <c r="E120" s="31"/>
      <c r="F120" s="32"/>
      <c r="G120" s="32"/>
      <c r="H120" s="70"/>
      <c r="I120" s="70"/>
      <c r="J120" s="70"/>
      <c r="K120" s="70"/>
      <c r="L120" s="70"/>
      <c r="M120" s="49"/>
    </row>
    <row r="121" spans="2:13" hidden="1" x14ac:dyDescent="0.25">
      <c r="B121" s="56" t="str">
        <f>CONCATENATE("12.",Prüfkriterien_1113[[#This Row],[Spalte2]])</f>
        <v>12.2</v>
      </c>
      <c r="C121" s="57">
        <f>ROW()-ROW(Prüfkriterien_1113[[#Headers],[Spalte3]])</f>
        <v>2</v>
      </c>
      <c r="D121" s="57">
        <f>(Prüfkriterien_1113[Spalte2]+120)/10</f>
        <v>12.2</v>
      </c>
      <c r="E121" s="58"/>
      <c r="F121" s="59"/>
      <c r="G121" s="59"/>
      <c r="H121" s="70"/>
      <c r="I121" s="70"/>
      <c r="J121" s="70"/>
      <c r="K121" s="70"/>
      <c r="L121" s="70"/>
      <c r="M121" s="87"/>
    </row>
    <row r="122" spans="2:13" hidden="1" x14ac:dyDescent="0.25">
      <c r="B122" s="44" t="str">
        <f>CONCATENATE("12.",Prüfkriterien_1113[[#This Row],[Spalte2]])</f>
        <v>12.3</v>
      </c>
      <c r="C122" s="45">
        <f>ROW()-ROW(Prüfkriterien_1113[[#Headers],[Spalte3]])</f>
        <v>3</v>
      </c>
      <c r="D122" s="45">
        <f>(Prüfkriterien_1113[Spalte2]+120)/10</f>
        <v>12.3</v>
      </c>
      <c r="E122" s="31"/>
      <c r="F122" s="32"/>
      <c r="G122" s="32"/>
      <c r="H122" s="70"/>
      <c r="I122" s="70"/>
      <c r="J122" s="70"/>
      <c r="K122" s="70"/>
      <c r="L122" s="70"/>
      <c r="M122" s="49"/>
    </row>
    <row r="123" spans="2:13" hidden="1" x14ac:dyDescent="0.25">
      <c r="B123" s="44" t="str">
        <f>CONCATENATE("12.",Prüfkriterien_1113[[#This Row],[Spalte2]])</f>
        <v>12.4</v>
      </c>
      <c r="C123" s="45">
        <f>ROW()-ROW(Prüfkriterien_1113[[#Headers],[Spalte3]])</f>
        <v>4</v>
      </c>
      <c r="D123" s="45">
        <f>(Prüfkriterien_1113[Spalte2]+120)/10</f>
        <v>12.4</v>
      </c>
      <c r="E123" s="31"/>
      <c r="F123" s="32"/>
      <c r="G123" s="32"/>
      <c r="H123" s="70"/>
      <c r="I123" s="70"/>
      <c r="J123" s="70"/>
      <c r="K123" s="70"/>
      <c r="L123" s="70"/>
      <c r="M123" s="49"/>
    </row>
    <row r="124" spans="2:13" hidden="1" x14ac:dyDescent="0.25">
      <c r="B124" s="56" t="str">
        <f>CONCATENATE("12.",Prüfkriterien_1113[[#This Row],[Spalte2]])</f>
        <v>12.5</v>
      </c>
      <c r="C124" s="57">
        <f>ROW()-ROW(Prüfkriterien_1113[[#Headers],[Spalte3]])</f>
        <v>5</v>
      </c>
      <c r="D124" s="57">
        <f>(Prüfkriterien_1113[Spalte2]+120)/10</f>
        <v>12.5</v>
      </c>
      <c r="E124" s="58"/>
      <c r="F124" s="59"/>
      <c r="G124" s="59"/>
      <c r="H124" s="70"/>
      <c r="I124" s="70"/>
      <c r="J124" s="70"/>
      <c r="K124" s="70"/>
      <c r="L124" s="70"/>
      <c r="M124" s="87"/>
    </row>
    <row r="125" spans="2:13" hidden="1" x14ac:dyDescent="0.25">
      <c r="B125" s="173" t="s">
        <v>89</v>
      </c>
      <c r="C125" s="174"/>
      <c r="D125" s="174"/>
      <c r="E125" s="174"/>
      <c r="F125" s="174"/>
      <c r="G125" s="174"/>
      <c r="H125" s="174"/>
      <c r="I125" s="174"/>
      <c r="J125" s="174"/>
      <c r="K125" s="174"/>
      <c r="L125" s="174"/>
      <c r="M125" s="175"/>
    </row>
    <row r="126" spans="2:13" hidden="1" x14ac:dyDescent="0.25">
      <c r="B126" s="44" t="s">
        <v>39</v>
      </c>
      <c r="C126" s="45" t="s">
        <v>40</v>
      </c>
      <c r="D126" s="45" t="s">
        <v>41</v>
      </c>
      <c r="E126" s="31" t="s">
        <v>42</v>
      </c>
      <c r="F126" s="32" t="s">
        <v>43</v>
      </c>
      <c r="G126" s="32" t="s">
        <v>46</v>
      </c>
      <c r="H126" s="33" t="s">
        <v>47</v>
      </c>
      <c r="I126" s="33" t="s">
        <v>48</v>
      </c>
      <c r="J126" s="33" t="s">
        <v>49</v>
      </c>
      <c r="K126" s="33" t="s">
        <v>50</v>
      </c>
      <c r="L126" s="33" t="s">
        <v>51</v>
      </c>
      <c r="M126" s="34" t="s">
        <v>52</v>
      </c>
    </row>
    <row r="127" spans="2:13" hidden="1" x14ac:dyDescent="0.25">
      <c r="B127" s="44" t="str">
        <f>CONCATENATE("13.",Prüfkriterien_1114[[#This Row],[Spalte2]])</f>
        <v>13.1</v>
      </c>
      <c r="C127" s="45">
        <f>ROW()-ROW(Prüfkriterien_1114[[#Headers],[Spalte3]])</f>
        <v>1</v>
      </c>
      <c r="D127" s="45">
        <f>(Prüfkriterien_1114[Spalte2]+130)/10</f>
        <v>13.1</v>
      </c>
      <c r="E127" s="31"/>
      <c r="F127" s="32"/>
      <c r="G127" s="32"/>
      <c r="H127" s="70"/>
      <c r="I127" s="70"/>
      <c r="J127" s="70"/>
      <c r="K127" s="70"/>
      <c r="L127" s="70"/>
      <c r="M127" s="49"/>
    </row>
    <row r="128" spans="2:13" hidden="1" x14ac:dyDescent="0.25">
      <c r="B128" s="56" t="str">
        <f>CONCATENATE("13.",Prüfkriterien_1114[[#This Row],[Spalte2]])</f>
        <v>13.2</v>
      </c>
      <c r="C128" s="57">
        <f>ROW()-ROW(Prüfkriterien_1114[[#Headers],[Spalte3]])</f>
        <v>2</v>
      </c>
      <c r="D128" s="57">
        <f>(Prüfkriterien_1114[Spalte2]+130)/10</f>
        <v>13.2</v>
      </c>
      <c r="E128" s="58"/>
      <c r="F128" s="59"/>
      <c r="G128" s="59"/>
      <c r="H128" s="70"/>
      <c r="I128" s="70"/>
      <c r="J128" s="70"/>
      <c r="K128" s="70"/>
      <c r="L128" s="70"/>
      <c r="M128" s="87"/>
    </row>
    <row r="129" spans="2:13" hidden="1" x14ac:dyDescent="0.25">
      <c r="B129" s="44" t="str">
        <f>CONCATENATE("13.",Prüfkriterien_1114[[#This Row],[Spalte2]])</f>
        <v>13.3</v>
      </c>
      <c r="C129" s="45">
        <f>ROW()-ROW(Prüfkriterien_1114[[#Headers],[Spalte3]])</f>
        <v>3</v>
      </c>
      <c r="D129" s="45">
        <f>(Prüfkriterien_1114[Spalte2]+130)/10</f>
        <v>13.3</v>
      </c>
      <c r="E129" s="31"/>
      <c r="F129" s="32"/>
      <c r="G129" s="32"/>
      <c r="H129" s="70"/>
      <c r="I129" s="70"/>
      <c r="J129" s="70"/>
      <c r="K129" s="70"/>
      <c r="L129" s="70"/>
      <c r="M129" s="49"/>
    </row>
    <row r="130" spans="2:13" hidden="1" x14ac:dyDescent="0.25">
      <c r="B130" s="44" t="str">
        <f>CONCATENATE("13.",Prüfkriterien_1114[[#This Row],[Spalte2]])</f>
        <v>13.4</v>
      </c>
      <c r="C130" s="45">
        <f>ROW()-ROW(Prüfkriterien_1114[[#Headers],[Spalte3]])</f>
        <v>4</v>
      </c>
      <c r="D130" s="45">
        <f>(Prüfkriterien_1114[Spalte2]+130)/10</f>
        <v>13.4</v>
      </c>
      <c r="E130" s="31"/>
      <c r="F130" s="32"/>
      <c r="G130" s="32"/>
      <c r="H130" s="70"/>
      <c r="I130" s="70"/>
      <c r="J130" s="70"/>
      <c r="K130" s="70"/>
      <c r="L130" s="70"/>
      <c r="M130" s="49"/>
    </row>
    <row r="131" spans="2:13" hidden="1" x14ac:dyDescent="0.25">
      <c r="B131" s="56" t="str">
        <f>CONCATENATE("13.",Prüfkriterien_1114[[#This Row],[Spalte2]])</f>
        <v>13.5</v>
      </c>
      <c r="C131" s="57">
        <f>ROW()-ROW(Prüfkriterien_1114[[#Headers],[Spalte3]])</f>
        <v>5</v>
      </c>
      <c r="D131" s="57">
        <f>(Prüfkriterien_1114[Spalte2]+130)/10</f>
        <v>13.5</v>
      </c>
      <c r="E131" s="58"/>
      <c r="F131" s="59"/>
      <c r="G131" s="59"/>
      <c r="H131" s="70"/>
      <c r="I131" s="70"/>
      <c r="J131" s="70"/>
      <c r="K131" s="70"/>
      <c r="L131" s="70"/>
      <c r="M131" s="87"/>
    </row>
    <row r="132" spans="2:13" hidden="1" x14ac:dyDescent="0.25">
      <c r="B132" s="173" t="s">
        <v>90</v>
      </c>
      <c r="C132" s="174"/>
      <c r="D132" s="174"/>
      <c r="E132" s="174"/>
      <c r="F132" s="174"/>
      <c r="G132" s="174"/>
      <c r="H132" s="174"/>
      <c r="I132" s="174"/>
      <c r="J132" s="174"/>
      <c r="K132" s="174"/>
      <c r="L132" s="174"/>
      <c r="M132" s="175"/>
    </row>
    <row r="133" spans="2:13" hidden="1" x14ac:dyDescent="0.25">
      <c r="B133" s="44" t="s">
        <v>39</v>
      </c>
      <c r="C133" s="45" t="s">
        <v>40</v>
      </c>
      <c r="D133" s="45" t="s">
        <v>41</v>
      </c>
      <c r="E133" s="31" t="s">
        <v>42</v>
      </c>
      <c r="F133" s="32" t="s">
        <v>43</v>
      </c>
      <c r="G133" s="32" t="s">
        <v>46</v>
      </c>
      <c r="H133" s="33" t="s">
        <v>47</v>
      </c>
      <c r="I133" s="33" t="s">
        <v>48</v>
      </c>
      <c r="J133" s="33" t="s">
        <v>49</v>
      </c>
      <c r="K133" s="33" t="s">
        <v>50</v>
      </c>
      <c r="L133" s="33" t="s">
        <v>51</v>
      </c>
      <c r="M133" s="34" t="s">
        <v>52</v>
      </c>
    </row>
    <row r="134" spans="2:13" hidden="1" x14ac:dyDescent="0.25">
      <c r="B134" s="44" t="str">
        <f>CONCATENATE("14.",Prüfkriterien_1115[[#This Row],[Spalte2]])</f>
        <v>14.1</v>
      </c>
      <c r="C134" s="45">
        <f>ROW()-ROW(Prüfkriterien_1115[[#Headers],[Spalte3]])</f>
        <v>1</v>
      </c>
      <c r="D134" s="45">
        <f>(Prüfkriterien_1115[Spalte2]+140)/10</f>
        <v>14.1</v>
      </c>
      <c r="E134" s="31"/>
      <c r="F134" s="32"/>
      <c r="G134" s="32"/>
      <c r="H134" s="70"/>
      <c r="I134" s="70"/>
      <c r="J134" s="70"/>
      <c r="K134" s="70"/>
      <c r="L134" s="70"/>
      <c r="M134" s="49"/>
    </row>
    <row r="135" spans="2:13" hidden="1" x14ac:dyDescent="0.25">
      <c r="B135" s="56" t="str">
        <f>CONCATENATE("14.",Prüfkriterien_1115[[#This Row],[Spalte2]])</f>
        <v>14.2</v>
      </c>
      <c r="C135" s="57">
        <f>ROW()-ROW(Prüfkriterien_1115[[#Headers],[Spalte3]])</f>
        <v>2</v>
      </c>
      <c r="D135" s="57">
        <f>(Prüfkriterien_1115[Spalte2]+140)/10</f>
        <v>14.2</v>
      </c>
      <c r="E135" s="58"/>
      <c r="F135" s="59"/>
      <c r="G135" s="59"/>
      <c r="H135" s="70"/>
      <c r="I135" s="70"/>
      <c r="J135" s="70"/>
      <c r="K135" s="70"/>
      <c r="L135" s="70"/>
      <c r="M135" s="87"/>
    </row>
    <row r="136" spans="2:13" hidden="1" x14ac:dyDescent="0.25">
      <c r="B136" s="44" t="str">
        <f>CONCATENATE("14.",Prüfkriterien_1115[[#This Row],[Spalte2]])</f>
        <v>14.3</v>
      </c>
      <c r="C136" s="45">
        <f>ROW()-ROW(Prüfkriterien_1115[[#Headers],[Spalte3]])</f>
        <v>3</v>
      </c>
      <c r="D136" s="45">
        <f>(Prüfkriterien_1115[Spalte2]+140)/10</f>
        <v>14.3</v>
      </c>
      <c r="E136" s="31"/>
      <c r="F136" s="32"/>
      <c r="G136" s="32"/>
      <c r="H136" s="70"/>
      <c r="I136" s="70"/>
      <c r="J136" s="70"/>
      <c r="K136" s="70"/>
      <c r="L136" s="70"/>
      <c r="M136" s="49"/>
    </row>
    <row r="137" spans="2:13" hidden="1" x14ac:dyDescent="0.25">
      <c r="B137" s="44" t="str">
        <f>CONCATENATE("14.",Prüfkriterien_1115[[#This Row],[Spalte2]])</f>
        <v>14.4</v>
      </c>
      <c r="C137" s="45">
        <f>ROW()-ROW(Prüfkriterien_1115[[#Headers],[Spalte3]])</f>
        <v>4</v>
      </c>
      <c r="D137" s="45">
        <f>(Prüfkriterien_1115[Spalte2]+140)/10</f>
        <v>14.4</v>
      </c>
      <c r="E137" s="31"/>
      <c r="F137" s="32"/>
      <c r="G137" s="32"/>
      <c r="H137" s="70"/>
      <c r="I137" s="70"/>
      <c r="J137" s="70"/>
      <c r="K137" s="70"/>
      <c r="L137" s="70"/>
      <c r="M137" s="49"/>
    </row>
    <row r="138" spans="2:13" hidden="1" x14ac:dyDescent="0.25">
      <c r="B138" s="56" t="str">
        <f>CONCATENATE("14.",Prüfkriterien_1115[[#This Row],[Spalte2]])</f>
        <v>14.5</v>
      </c>
      <c r="C138" s="57">
        <f>ROW()-ROW(Prüfkriterien_1115[[#Headers],[Spalte3]])</f>
        <v>5</v>
      </c>
      <c r="D138" s="57">
        <f>(Prüfkriterien_1115[Spalte2]+140)/10</f>
        <v>14.5</v>
      </c>
      <c r="E138" s="58"/>
      <c r="F138" s="59"/>
      <c r="G138" s="59"/>
      <c r="H138" s="70"/>
      <c r="I138" s="70"/>
      <c r="J138" s="70"/>
      <c r="K138" s="70"/>
      <c r="L138" s="70"/>
      <c r="M138" s="87"/>
    </row>
    <row r="139" spans="2:13" hidden="1" x14ac:dyDescent="0.25">
      <c r="B139" s="173" t="s">
        <v>91</v>
      </c>
      <c r="C139" s="174"/>
      <c r="D139" s="174"/>
      <c r="E139" s="174"/>
      <c r="F139" s="174"/>
      <c r="G139" s="174"/>
      <c r="H139" s="174"/>
      <c r="I139" s="174"/>
      <c r="J139" s="174"/>
      <c r="K139" s="174"/>
      <c r="L139" s="174"/>
      <c r="M139" s="175"/>
    </row>
    <row r="140" spans="2:13" hidden="1" x14ac:dyDescent="0.25">
      <c r="B140" s="44" t="s">
        <v>39</v>
      </c>
      <c r="C140" s="45" t="s">
        <v>40</v>
      </c>
      <c r="D140" s="45" t="s">
        <v>41</v>
      </c>
      <c r="E140" s="31" t="s">
        <v>42</v>
      </c>
      <c r="F140" s="32" t="s">
        <v>43</v>
      </c>
      <c r="G140" s="32" t="s">
        <v>46</v>
      </c>
      <c r="H140" s="33" t="s">
        <v>47</v>
      </c>
      <c r="I140" s="33" t="s">
        <v>48</v>
      </c>
      <c r="J140" s="33" t="s">
        <v>49</v>
      </c>
      <c r="K140" s="33" t="s">
        <v>50</v>
      </c>
      <c r="L140" s="33" t="s">
        <v>51</v>
      </c>
      <c r="M140" s="34" t="s">
        <v>52</v>
      </c>
    </row>
    <row r="141" spans="2:13" hidden="1" x14ac:dyDescent="0.25">
      <c r="B141" s="44" t="str">
        <f>CONCATENATE("15.",Prüfkriterien_1116[[#This Row],[Spalte2]])</f>
        <v>15.1</v>
      </c>
      <c r="C141" s="45">
        <f>ROW()-ROW(Prüfkriterien_1116[[#Headers],[Spalte3]])</f>
        <v>1</v>
      </c>
      <c r="D141" s="45">
        <f>(Prüfkriterien_1116[Spalte2]+150)/10</f>
        <v>15.1</v>
      </c>
      <c r="E141" s="31"/>
      <c r="F141" s="32"/>
      <c r="G141" s="32"/>
      <c r="H141" s="70"/>
      <c r="I141" s="70"/>
      <c r="J141" s="70"/>
      <c r="K141" s="70"/>
      <c r="L141" s="70"/>
      <c r="M141" s="49"/>
    </row>
    <row r="142" spans="2:13" hidden="1" x14ac:dyDescent="0.25">
      <c r="B142" s="56" t="str">
        <f>CONCATENATE("15.",Prüfkriterien_1116[[#This Row],[Spalte2]])</f>
        <v>15.2</v>
      </c>
      <c r="C142" s="57">
        <f>ROW()-ROW(Prüfkriterien_1116[[#Headers],[Spalte3]])</f>
        <v>2</v>
      </c>
      <c r="D142" s="57">
        <f>(Prüfkriterien_1116[Spalte2]+150)/10</f>
        <v>15.2</v>
      </c>
      <c r="E142" s="58"/>
      <c r="F142" s="59"/>
      <c r="G142" s="59"/>
      <c r="H142" s="70"/>
      <c r="I142" s="70"/>
      <c r="J142" s="70"/>
      <c r="K142" s="70"/>
      <c r="L142" s="70"/>
      <c r="M142" s="87"/>
    </row>
    <row r="143" spans="2:13" hidden="1" x14ac:dyDescent="0.25">
      <c r="B143" s="44" t="str">
        <f>CONCATENATE("15.",Prüfkriterien_1116[[#This Row],[Spalte2]])</f>
        <v>15.3</v>
      </c>
      <c r="C143" s="45">
        <f>ROW()-ROW(Prüfkriterien_1116[[#Headers],[Spalte3]])</f>
        <v>3</v>
      </c>
      <c r="D143" s="45">
        <f>(Prüfkriterien_1116[Spalte2]+150)/10</f>
        <v>15.3</v>
      </c>
      <c r="E143" s="31"/>
      <c r="F143" s="32"/>
      <c r="G143" s="32"/>
      <c r="H143" s="70"/>
      <c r="I143" s="70"/>
      <c r="J143" s="70"/>
      <c r="K143" s="70"/>
      <c r="L143" s="70"/>
      <c r="M143" s="49"/>
    </row>
    <row r="144" spans="2:13" hidden="1" x14ac:dyDescent="0.25">
      <c r="B144" s="44" t="str">
        <f>CONCATENATE("15.",Prüfkriterien_1116[[#This Row],[Spalte2]])</f>
        <v>15.4</v>
      </c>
      <c r="C144" s="45">
        <f>ROW()-ROW(Prüfkriterien_1116[[#Headers],[Spalte3]])</f>
        <v>4</v>
      </c>
      <c r="D144" s="45">
        <f>(Prüfkriterien_1116[Spalte2]+150)/10</f>
        <v>15.4</v>
      </c>
      <c r="E144" s="31"/>
      <c r="F144" s="32"/>
      <c r="G144" s="32"/>
      <c r="H144" s="70"/>
      <c r="I144" s="70"/>
      <c r="J144" s="70"/>
      <c r="K144" s="70"/>
      <c r="L144" s="70"/>
      <c r="M144" s="49"/>
    </row>
    <row r="145" spans="2:13" hidden="1" x14ac:dyDescent="0.25">
      <c r="B145" s="56" t="str">
        <f>CONCATENATE("15.",Prüfkriterien_1116[[#This Row],[Spalte2]])</f>
        <v>15.5</v>
      </c>
      <c r="C145" s="57">
        <f>ROW()-ROW(Prüfkriterien_1116[[#Headers],[Spalte3]])</f>
        <v>5</v>
      </c>
      <c r="D145" s="57">
        <f>(Prüfkriterien_1116[Spalte2]+150)/10</f>
        <v>15.5</v>
      </c>
      <c r="E145" s="58"/>
      <c r="F145" s="59"/>
      <c r="G145" s="59"/>
      <c r="H145" s="70"/>
      <c r="I145" s="70"/>
      <c r="J145" s="70"/>
      <c r="K145" s="70"/>
      <c r="L145" s="70"/>
      <c r="M145" s="87"/>
    </row>
    <row r="146" spans="2:13" hidden="1" x14ac:dyDescent="0.25">
      <c r="B146" s="173" t="s">
        <v>92</v>
      </c>
      <c r="C146" s="174"/>
      <c r="D146" s="174"/>
      <c r="E146" s="174"/>
      <c r="F146" s="174"/>
      <c r="G146" s="174"/>
      <c r="H146" s="174"/>
      <c r="I146" s="174"/>
      <c r="J146" s="174"/>
      <c r="K146" s="174"/>
      <c r="L146" s="174"/>
      <c r="M146" s="175"/>
    </row>
    <row r="147" spans="2:13" hidden="1" x14ac:dyDescent="0.25">
      <c r="B147" s="44" t="s">
        <v>39</v>
      </c>
      <c r="C147" s="45" t="s">
        <v>40</v>
      </c>
      <c r="D147" s="45" t="s">
        <v>41</v>
      </c>
      <c r="E147" s="31" t="s">
        <v>42</v>
      </c>
      <c r="F147" s="32" t="s">
        <v>43</v>
      </c>
      <c r="G147" s="32" t="s">
        <v>46</v>
      </c>
      <c r="H147" s="33" t="s">
        <v>47</v>
      </c>
      <c r="I147" s="33" t="s">
        <v>48</v>
      </c>
      <c r="J147" s="33" t="s">
        <v>49</v>
      </c>
      <c r="K147" s="33" t="s">
        <v>50</v>
      </c>
      <c r="L147" s="33" t="s">
        <v>51</v>
      </c>
      <c r="M147" s="34" t="s">
        <v>52</v>
      </c>
    </row>
    <row r="148" spans="2:13" hidden="1" x14ac:dyDescent="0.25">
      <c r="B148" s="44" t="str">
        <f>CONCATENATE("16.",Prüfkriterien_1117[[#This Row],[Spalte2]])</f>
        <v>16.1</v>
      </c>
      <c r="C148" s="45">
        <f>ROW()-ROW(Prüfkriterien_1117[[#Headers],[Spalte3]])</f>
        <v>1</v>
      </c>
      <c r="D148" s="45">
        <f>(Prüfkriterien_1117[Spalte2]+160)/10</f>
        <v>16.100000000000001</v>
      </c>
      <c r="E148" s="31"/>
      <c r="F148" s="32"/>
      <c r="G148" s="32"/>
      <c r="H148" s="70"/>
      <c r="I148" s="70"/>
      <c r="J148" s="70"/>
      <c r="K148" s="70"/>
      <c r="L148" s="70"/>
      <c r="M148" s="49"/>
    </row>
    <row r="149" spans="2:13" hidden="1" x14ac:dyDescent="0.25">
      <c r="B149" s="56" t="str">
        <f>CONCATENATE("16.",Prüfkriterien_1117[[#This Row],[Spalte2]])</f>
        <v>16.2</v>
      </c>
      <c r="C149" s="57">
        <f>ROW()-ROW(Prüfkriterien_1117[[#Headers],[Spalte3]])</f>
        <v>2</v>
      </c>
      <c r="D149" s="57">
        <f>(Prüfkriterien_1117[Spalte2]+160)/10</f>
        <v>16.2</v>
      </c>
      <c r="E149" s="58"/>
      <c r="F149" s="59"/>
      <c r="G149" s="59"/>
      <c r="H149" s="70"/>
      <c r="I149" s="70"/>
      <c r="J149" s="70"/>
      <c r="K149" s="70"/>
      <c r="L149" s="70"/>
      <c r="M149" s="87"/>
    </row>
    <row r="150" spans="2:13" hidden="1" x14ac:dyDescent="0.25">
      <c r="B150" s="44" t="str">
        <f>CONCATENATE("16.",Prüfkriterien_1117[[#This Row],[Spalte2]])</f>
        <v>16.3</v>
      </c>
      <c r="C150" s="45">
        <f>ROW()-ROW(Prüfkriterien_1117[[#Headers],[Spalte3]])</f>
        <v>3</v>
      </c>
      <c r="D150" s="45">
        <f>(Prüfkriterien_1117[Spalte2]+160)/10</f>
        <v>16.3</v>
      </c>
      <c r="E150" s="31"/>
      <c r="F150" s="32"/>
      <c r="G150" s="32"/>
      <c r="H150" s="70"/>
      <c r="I150" s="70"/>
      <c r="J150" s="70"/>
      <c r="K150" s="70"/>
      <c r="L150" s="70"/>
      <c r="M150" s="49"/>
    </row>
    <row r="151" spans="2:13" hidden="1" x14ac:dyDescent="0.25">
      <c r="B151" s="44" t="str">
        <f>CONCATENATE("16.",Prüfkriterien_1117[[#This Row],[Spalte2]])</f>
        <v>16.4</v>
      </c>
      <c r="C151" s="45">
        <f>ROW()-ROW(Prüfkriterien_1117[[#Headers],[Spalte3]])</f>
        <v>4</v>
      </c>
      <c r="D151" s="45">
        <f>(Prüfkriterien_1117[Spalte2]+160)/10</f>
        <v>16.399999999999999</v>
      </c>
      <c r="E151" s="31"/>
      <c r="F151" s="32"/>
      <c r="G151" s="32"/>
      <c r="H151" s="70"/>
      <c r="I151" s="70"/>
      <c r="J151" s="70"/>
      <c r="K151" s="70"/>
      <c r="L151" s="70"/>
      <c r="M151" s="49"/>
    </row>
    <row r="152" spans="2:13" hidden="1" x14ac:dyDescent="0.25">
      <c r="B152" s="56" t="str">
        <f>CONCATENATE("16.",Prüfkriterien_1117[[#This Row],[Spalte2]])</f>
        <v>16.5</v>
      </c>
      <c r="C152" s="57">
        <f>ROW()-ROW(Prüfkriterien_1117[[#Headers],[Spalte3]])</f>
        <v>5</v>
      </c>
      <c r="D152" s="57">
        <f>(Prüfkriterien_1117[Spalte2]+160)/10</f>
        <v>16.5</v>
      </c>
      <c r="E152" s="58"/>
      <c r="F152" s="59"/>
      <c r="G152" s="59"/>
      <c r="H152" s="70"/>
      <c r="I152" s="70"/>
      <c r="J152" s="70"/>
      <c r="K152" s="70"/>
      <c r="L152" s="70"/>
      <c r="M152" s="87"/>
    </row>
    <row r="153" spans="2:13" hidden="1" x14ac:dyDescent="0.25">
      <c r="B153" s="173" t="s">
        <v>93</v>
      </c>
      <c r="C153" s="174"/>
      <c r="D153" s="174"/>
      <c r="E153" s="174"/>
      <c r="F153" s="174"/>
      <c r="G153" s="174"/>
      <c r="H153" s="174"/>
      <c r="I153" s="174"/>
      <c r="J153" s="174"/>
      <c r="K153" s="174"/>
      <c r="L153" s="174"/>
      <c r="M153" s="175"/>
    </row>
    <row r="154" spans="2:13" hidden="1" x14ac:dyDescent="0.25">
      <c r="B154" s="44" t="s">
        <v>39</v>
      </c>
      <c r="C154" s="45" t="s">
        <v>40</v>
      </c>
      <c r="D154" s="45" t="s">
        <v>41</v>
      </c>
      <c r="E154" s="31" t="s">
        <v>42</v>
      </c>
      <c r="F154" s="32" t="s">
        <v>43</v>
      </c>
      <c r="G154" s="32" t="s">
        <v>46</v>
      </c>
      <c r="H154" s="33" t="s">
        <v>47</v>
      </c>
      <c r="I154" s="33" t="s">
        <v>48</v>
      </c>
      <c r="J154" s="33" t="s">
        <v>49</v>
      </c>
      <c r="K154" s="33" t="s">
        <v>50</v>
      </c>
      <c r="L154" s="33" t="s">
        <v>51</v>
      </c>
      <c r="M154" s="34" t="s">
        <v>52</v>
      </c>
    </row>
    <row r="155" spans="2:13" hidden="1" x14ac:dyDescent="0.25">
      <c r="B155" s="44" t="str">
        <f>CONCATENATE("17.",Prüfkriterien_1118[[#This Row],[Spalte2]])</f>
        <v>17.1</v>
      </c>
      <c r="C155" s="45">
        <f>ROW()-ROW(Prüfkriterien_1118[[#Headers],[Spalte3]])</f>
        <v>1</v>
      </c>
      <c r="D155" s="45">
        <f>(Prüfkriterien_1118[Spalte2]+170)/10</f>
        <v>17.100000000000001</v>
      </c>
      <c r="E155" s="31"/>
      <c r="F155" s="32"/>
      <c r="G155" s="32"/>
      <c r="H155" s="70"/>
      <c r="I155" s="70"/>
      <c r="J155" s="70"/>
      <c r="K155" s="70"/>
      <c r="L155" s="70"/>
      <c r="M155" s="49"/>
    </row>
    <row r="156" spans="2:13" hidden="1" x14ac:dyDescent="0.25">
      <c r="B156" s="56" t="str">
        <f>CONCATENATE("17.",Prüfkriterien_1118[[#This Row],[Spalte2]])</f>
        <v>17.2</v>
      </c>
      <c r="C156" s="57">
        <f>ROW()-ROW(Prüfkriterien_1118[[#Headers],[Spalte3]])</f>
        <v>2</v>
      </c>
      <c r="D156" s="57">
        <f>(Prüfkriterien_1118[Spalte2]+170)/10</f>
        <v>17.2</v>
      </c>
      <c r="E156" s="58"/>
      <c r="F156" s="59"/>
      <c r="G156" s="59"/>
      <c r="H156" s="70"/>
      <c r="I156" s="70"/>
      <c r="J156" s="70"/>
      <c r="K156" s="70"/>
      <c r="L156" s="70"/>
      <c r="M156" s="87"/>
    </row>
    <row r="157" spans="2:13" hidden="1" x14ac:dyDescent="0.25">
      <c r="B157" s="44" t="str">
        <f>CONCATENATE("17.",Prüfkriterien_1118[[#This Row],[Spalte2]])</f>
        <v>17.3</v>
      </c>
      <c r="C157" s="45">
        <f>ROW()-ROW(Prüfkriterien_1118[[#Headers],[Spalte3]])</f>
        <v>3</v>
      </c>
      <c r="D157" s="45">
        <f>(Prüfkriterien_1118[Spalte2]+170)/10</f>
        <v>17.3</v>
      </c>
      <c r="E157" s="31"/>
      <c r="F157" s="32"/>
      <c r="G157" s="32"/>
      <c r="H157" s="70"/>
      <c r="I157" s="70"/>
      <c r="J157" s="70"/>
      <c r="K157" s="70"/>
      <c r="L157" s="70"/>
      <c r="M157" s="49"/>
    </row>
    <row r="158" spans="2:13" hidden="1" x14ac:dyDescent="0.25">
      <c r="B158" s="44" t="str">
        <f>CONCATENATE("17.",Prüfkriterien_1118[[#This Row],[Spalte2]])</f>
        <v>17.4</v>
      </c>
      <c r="C158" s="45">
        <f>ROW()-ROW(Prüfkriterien_1118[[#Headers],[Spalte3]])</f>
        <v>4</v>
      </c>
      <c r="D158" s="45">
        <f>(Prüfkriterien_1118[Spalte2]+170)/10</f>
        <v>17.399999999999999</v>
      </c>
      <c r="E158" s="31"/>
      <c r="F158" s="32"/>
      <c r="G158" s="32"/>
      <c r="H158" s="70"/>
      <c r="I158" s="70"/>
      <c r="J158" s="70"/>
      <c r="K158" s="70"/>
      <c r="L158" s="70"/>
      <c r="M158" s="49"/>
    </row>
    <row r="159" spans="2:13" hidden="1" x14ac:dyDescent="0.25">
      <c r="B159" s="56" t="str">
        <f>CONCATENATE("17.",Prüfkriterien_1118[[#This Row],[Spalte2]])</f>
        <v>17.5</v>
      </c>
      <c r="C159" s="57">
        <f>ROW()-ROW(Prüfkriterien_1118[[#Headers],[Spalte3]])</f>
        <v>5</v>
      </c>
      <c r="D159" s="57">
        <f>(Prüfkriterien_1118[Spalte2]+170)/10</f>
        <v>17.5</v>
      </c>
      <c r="E159" s="58"/>
      <c r="F159" s="59"/>
      <c r="G159" s="59"/>
      <c r="H159" s="70"/>
      <c r="I159" s="70"/>
      <c r="J159" s="70"/>
      <c r="K159" s="70"/>
      <c r="L159" s="70"/>
      <c r="M159" s="87"/>
    </row>
    <row r="160" spans="2:13" hidden="1" x14ac:dyDescent="0.25">
      <c r="B160" s="173" t="s">
        <v>94</v>
      </c>
      <c r="C160" s="174"/>
      <c r="D160" s="174"/>
      <c r="E160" s="174"/>
      <c r="F160" s="174"/>
      <c r="G160" s="174"/>
      <c r="H160" s="174"/>
      <c r="I160" s="174"/>
      <c r="J160" s="174"/>
      <c r="K160" s="174"/>
      <c r="L160" s="174"/>
      <c r="M160" s="175"/>
    </row>
    <row r="161" spans="2:13" hidden="1" x14ac:dyDescent="0.25">
      <c r="B161" s="44" t="s">
        <v>39</v>
      </c>
      <c r="C161" s="45" t="s">
        <v>40</v>
      </c>
      <c r="D161" s="45" t="s">
        <v>41</v>
      </c>
      <c r="E161" s="31" t="s">
        <v>42</v>
      </c>
      <c r="F161" s="32" t="s">
        <v>43</v>
      </c>
      <c r="G161" s="32" t="s">
        <v>46</v>
      </c>
      <c r="H161" s="33" t="s">
        <v>47</v>
      </c>
      <c r="I161" s="33" t="s">
        <v>48</v>
      </c>
      <c r="J161" s="33" t="s">
        <v>49</v>
      </c>
      <c r="K161" s="33" t="s">
        <v>50</v>
      </c>
      <c r="L161" s="33" t="s">
        <v>51</v>
      </c>
      <c r="M161" s="34" t="s">
        <v>52</v>
      </c>
    </row>
    <row r="162" spans="2:13" hidden="1" x14ac:dyDescent="0.25">
      <c r="B162" s="44" t="str">
        <f>CONCATENATE("18.",Prüfkriterien_1119[[#This Row],[Spalte2]])</f>
        <v>18.1</v>
      </c>
      <c r="C162" s="45">
        <f>ROW()-ROW(Prüfkriterien_1119[[#Headers],[Spalte3]])</f>
        <v>1</v>
      </c>
      <c r="D162" s="45">
        <f>(Prüfkriterien_1119[Spalte2]+180)/10</f>
        <v>18.100000000000001</v>
      </c>
      <c r="E162" s="31"/>
      <c r="F162" s="32"/>
      <c r="G162" s="32"/>
      <c r="H162" s="70"/>
      <c r="I162" s="70"/>
      <c r="J162" s="70"/>
      <c r="K162" s="70"/>
      <c r="L162" s="70"/>
      <c r="M162" s="49"/>
    </row>
    <row r="163" spans="2:13" hidden="1" x14ac:dyDescent="0.25">
      <c r="B163" s="56" t="str">
        <f>CONCATENATE("18.",Prüfkriterien_1119[[#This Row],[Spalte2]])</f>
        <v>18.2</v>
      </c>
      <c r="C163" s="57">
        <f>ROW()-ROW(Prüfkriterien_1119[[#Headers],[Spalte3]])</f>
        <v>2</v>
      </c>
      <c r="D163" s="57">
        <f>(Prüfkriterien_1119[Spalte2]+180)/10</f>
        <v>18.2</v>
      </c>
      <c r="E163" s="58"/>
      <c r="F163" s="59"/>
      <c r="G163" s="59"/>
      <c r="H163" s="70"/>
      <c r="I163" s="70"/>
      <c r="J163" s="70"/>
      <c r="K163" s="70"/>
      <c r="L163" s="70"/>
      <c r="M163" s="87"/>
    </row>
    <row r="164" spans="2:13" hidden="1" x14ac:dyDescent="0.25">
      <c r="B164" s="44" t="str">
        <f>CONCATENATE("18.",Prüfkriterien_1119[[#This Row],[Spalte2]])</f>
        <v>18.3</v>
      </c>
      <c r="C164" s="45">
        <f>ROW()-ROW(Prüfkriterien_1119[[#Headers],[Spalte3]])</f>
        <v>3</v>
      </c>
      <c r="D164" s="45">
        <f>(Prüfkriterien_1119[Spalte2]+180)/10</f>
        <v>18.3</v>
      </c>
      <c r="E164" s="31"/>
      <c r="F164" s="32"/>
      <c r="G164" s="32"/>
      <c r="H164" s="70"/>
      <c r="I164" s="70"/>
      <c r="J164" s="70"/>
      <c r="K164" s="70"/>
      <c r="L164" s="70"/>
      <c r="M164" s="49"/>
    </row>
    <row r="165" spans="2:13" hidden="1" x14ac:dyDescent="0.25">
      <c r="B165" s="44" t="str">
        <f>CONCATENATE("18.",Prüfkriterien_1119[[#This Row],[Spalte2]])</f>
        <v>18.4</v>
      </c>
      <c r="C165" s="45">
        <f>ROW()-ROW(Prüfkriterien_1119[[#Headers],[Spalte3]])</f>
        <v>4</v>
      </c>
      <c r="D165" s="45">
        <f>(Prüfkriterien_1119[Spalte2]+180)/10</f>
        <v>18.399999999999999</v>
      </c>
      <c r="E165" s="31"/>
      <c r="F165" s="32"/>
      <c r="G165" s="32"/>
      <c r="H165" s="70"/>
      <c r="I165" s="70"/>
      <c r="J165" s="70"/>
      <c r="K165" s="70"/>
      <c r="L165" s="70"/>
      <c r="M165" s="49"/>
    </row>
    <row r="166" spans="2:13" hidden="1" x14ac:dyDescent="0.25">
      <c r="B166" s="56" t="str">
        <f>CONCATENATE("18.",Prüfkriterien_1119[[#This Row],[Spalte2]])</f>
        <v>18.5</v>
      </c>
      <c r="C166" s="57">
        <f>ROW()-ROW(Prüfkriterien_1119[[#Headers],[Spalte3]])</f>
        <v>5</v>
      </c>
      <c r="D166" s="57">
        <f>(Prüfkriterien_1119[Spalte2]+180)/10</f>
        <v>18.5</v>
      </c>
      <c r="E166" s="58"/>
      <c r="F166" s="59"/>
      <c r="G166" s="59"/>
      <c r="H166" s="70"/>
      <c r="I166" s="70"/>
      <c r="J166" s="70"/>
      <c r="K166" s="70"/>
      <c r="L166" s="70"/>
      <c r="M166" s="87"/>
    </row>
    <row r="167" spans="2:13" hidden="1" x14ac:dyDescent="0.25">
      <c r="B167" s="173" t="s">
        <v>95</v>
      </c>
      <c r="C167" s="174"/>
      <c r="D167" s="174"/>
      <c r="E167" s="174"/>
      <c r="F167" s="174"/>
      <c r="G167" s="174"/>
      <c r="H167" s="174"/>
      <c r="I167" s="174"/>
      <c r="J167" s="174"/>
      <c r="K167" s="174"/>
      <c r="L167" s="174"/>
      <c r="M167" s="175"/>
    </row>
    <row r="168" spans="2:13" hidden="1" x14ac:dyDescent="0.25">
      <c r="B168" s="44" t="s">
        <v>39</v>
      </c>
      <c r="C168" s="45" t="s">
        <v>40</v>
      </c>
      <c r="D168" s="45" t="s">
        <v>41</v>
      </c>
      <c r="E168" s="31" t="s">
        <v>42</v>
      </c>
      <c r="F168" s="32" t="s">
        <v>43</v>
      </c>
      <c r="G168" s="32" t="s">
        <v>46</v>
      </c>
      <c r="H168" s="33" t="s">
        <v>47</v>
      </c>
      <c r="I168" s="33" t="s">
        <v>48</v>
      </c>
      <c r="J168" s="33" t="s">
        <v>49</v>
      </c>
      <c r="K168" s="33" t="s">
        <v>50</v>
      </c>
      <c r="L168" s="33" t="s">
        <v>51</v>
      </c>
      <c r="M168" s="34" t="s">
        <v>52</v>
      </c>
    </row>
    <row r="169" spans="2:13" hidden="1" x14ac:dyDescent="0.25">
      <c r="B169" s="44" t="str">
        <f>CONCATENATE("19.",Prüfkriterien_1120[[#This Row],[Spalte2]])</f>
        <v>19.1</v>
      </c>
      <c r="C169" s="45">
        <f>ROW()-ROW(Prüfkriterien_1120[[#Headers],[Spalte3]])</f>
        <v>1</v>
      </c>
      <c r="D169" s="45">
        <f>(Prüfkriterien_1120[Spalte2]+190)/10</f>
        <v>19.100000000000001</v>
      </c>
      <c r="E169" s="31"/>
      <c r="F169" s="32"/>
      <c r="G169" s="32"/>
      <c r="H169" s="70"/>
      <c r="I169" s="70"/>
      <c r="J169" s="70"/>
      <c r="K169" s="70"/>
      <c r="L169" s="70"/>
      <c r="M169" s="49"/>
    </row>
    <row r="170" spans="2:13" hidden="1" x14ac:dyDescent="0.25">
      <c r="B170" s="56" t="str">
        <f>CONCATENATE("19.",Prüfkriterien_1120[[#This Row],[Spalte2]])</f>
        <v>19.2</v>
      </c>
      <c r="C170" s="57">
        <f>ROW()-ROW(Prüfkriterien_1120[[#Headers],[Spalte3]])</f>
        <v>2</v>
      </c>
      <c r="D170" s="57">
        <f>(Prüfkriterien_1120[Spalte2]+190)/10</f>
        <v>19.2</v>
      </c>
      <c r="E170" s="58"/>
      <c r="F170" s="59"/>
      <c r="G170" s="59"/>
      <c r="H170" s="70"/>
      <c r="I170" s="70"/>
      <c r="J170" s="70"/>
      <c r="K170" s="70"/>
      <c r="L170" s="70"/>
      <c r="M170" s="87"/>
    </row>
    <row r="171" spans="2:13" hidden="1" x14ac:dyDescent="0.25">
      <c r="B171" s="44" t="str">
        <f>CONCATENATE("19.",Prüfkriterien_1120[[#This Row],[Spalte2]])</f>
        <v>19.3</v>
      </c>
      <c r="C171" s="45">
        <f>ROW()-ROW(Prüfkriterien_1120[[#Headers],[Spalte3]])</f>
        <v>3</v>
      </c>
      <c r="D171" s="45">
        <f>(Prüfkriterien_1120[Spalte2]+190)/10</f>
        <v>19.3</v>
      </c>
      <c r="E171" s="31"/>
      <c r="F171" s="32"/>
      <c r="G171" s="32"/>
      <c r="H171" s="70"/>
      <c r="I171" s="70"/>
      <c r="J171" s="70"/>
      <c r="K171" s="70"/>
      <c r="L171" s="70"/>
      <c r="M171" s="49"/>
    </row>
    <row r="172" spans="2:13" hidden="1" x14ac:dyDescent="0.25">
      <c r="B172" s="44" t="str">
        <f>CONCATENATE("19.",Prüfkriterien_1120[[#This Row],[Spalte2]])</f>
        <v>19.4</v>
      </c>
      <c r="C172" s="45">
        <f>ROW()-ROW(Prüfkriterien_1120[[#Headers],[Spalte3]])</f>
        <v>4</v>
      </c>
      <c r="D172" s="45">
        <f>(Prüfkriterien_1120[Spalte2]+190)/10</f>
        <v>19.399999999999999</v>
      </c>
      <c r="E172" s="31"/>
      <c r="F172" s="32"/>
      <c r="G172" s="32"/>
      <c r="H172" s="70"/>
      <c r="I172" s="70"/>
      <c r="J172" s="70"/>
      <c r="K172" s="70"/>
      <c r="L172" s="70"/>
      <c r="M172" s="49"/>
    </row>
    <row r="173" spans="2:13" hidden="1" x14ac:dyDescent="0.25">
      <c r="B173" s="56" t="str">
        <f>CONCATENATE("19.",Prüfkriterien_1120[[#This Row],[Spalte2]])</f>
        <v>19.5</v>
      </c>
      <c r="C173" s="57">
        <f>ROW()-ROW(Prüfkriterien_1120[[#Headers],[Spalte3]])</f>
        <v>5</v>
      </c>
      <c r="D173" s="57">
        <f>(Prüfkriterien_1120[Spalte2]+190)/10</f>
        <v>19.5</v>
      </c>
      <c r="E173" s="58"/>
      <c r="F173" s="59"/>
      <c r="G173" s="59"/>
      <c r="H173" s="70"/>
      <c r="I173" s="70"/>
      <c r="J173" s="70"/>
      <c r="K173" s="70"/>
      <c r="L173" s="70"/>
      <c r="M173" s="87"/>
    </row>
    <row r="174" spans="2:13" hidden="1" x14ac:dyDescent="0.25">
      <c r="B174" s="173" t="s">
        <v>96</v>
      </c>
      <c r="C174" s="174"/>
      <c r="D174" s="174"/>
      <c r="E174" s="174"/>
      <c r="F174" s="174"/>
      <c r="G174" s="174"/>
      <c r="H174" s="174"/>
      <c r="I174" s="174"/>
      <c r="J174" s="174"/>
      <c r="K174" s="174"/>
      <c r="L174" s="174"/>
      <c r="M174" s="175"/>
    </row>
    <row r="175" spans="2:13" hidden="1" x14ac:dyDescent="0.25">
      <c r="B175" s="44" t="s">
        <v>39</v>
      </c>
      <c r="C175" s="45" t="s">
        <v>40</v>
      </c>
      <c r="D175" s="45" t="s">
        <v>41</v>
      </c>
      <c r="E175" s="31" t="s">
        <v>42</v>
      </c>
      <c r="F175" s="32" t="s">
        <v>43</v>
      </c>
      <c r="G175" s="32" t="s">
        <v>46</v>
      </c>
      <c r="H175" s="33" t="s">
        <v>47</v>
      </c>
      <c r="I175" s="33" t="s">
        <v>48</v>
      </c>
      <c r="J175" s="33" t="s">
        <v>49</v>
      </c>
      <c r="K175" s="33" t="s">
        <v>50</v>
      </c>
      <c r="L175" s="33" t="s">
        <v>51</v>
      </c>
      <c r="M175" s="34" t="s">
        <v>52</v>
      </c>
    </row>
    <row r="176" spans="2:13" hidden="1" x14ac:dyDescent="0.25">
      <c r="B176" s="44" t="str">
        <f>CONCATENATE("20.",Prüfkriterien_1121[[#This Row],[Spalte2]])</f>
        <v>20.1</v>
      </c>
      <c r="C176" s="45">
        <f>ROW()-ROW(Prüfkriterien_1121[[#Headers],[Spalte3]])</f>
        <v>1</v>
      </c>
      <c r="D176" s="45">
        <f>(Prüfkriterien_1121[Spalte2]+200)/10</f>
        <v>20.100000000000001</v>
      </c>
      <c r="E176" s="31"/>
      <c r="F176" s="32"/>
      <c r="G176" s="32"/>
      <c r="H176" s="70"/>
      <c r="I176" s="70"/>
      <c r="J176" s="70"/>
      <c r="K176" s="70"/>
      <c r="L176" s="70"/>
      <c r="M176" s="49"/>
    </row>
    <row r="177" spans="2:13" hidden="1" x14ac:dyDescent="0.25">
      <c r="B177" s="56" t="str">
        <f>CONCATENATE("20.",Prüfkriterien_1121[[#This Row],[Spalte2]])</f>
        <v>20.2</v>
      </c>
      <c r="C177" s="57">
        <f>ROW()-ROW(Prüfkriterien_1121[[#Headers],[Spalte3]])</f>
        <v>2</v>
      </c>
      <c r="D177" s="57">
        <f>(Prüfkriterien_1121[Spalte2]+200)/10</f>
        <v>20.2</v>
      </c>
      <c r="E177" s="58"/>
      <c r="F177" s="59"/>
      <c r="G177" s="59"/>
      <c r="H177" s="70"/>
      <c r="I177" s="70"/>
      <c r="J177" s="70"/>
      <c r="K177" s="70"/>
      <c r="L177" s="70"/>
      <c r="M177" s="87"/>
    </row>
    <row r="178" spans="2:13" hidden="1" x14ac:dyDescent="0.25">
      <c r="B178" s="44" t="str">
        <f>CONCATENATE("20.",Prüfkriterien_1121[[#This Row],[Spalte2]])</f>
        <v>20.3</v>
      </c>
      <c r="C178" s="45">
        <f>ROW()-ROW(Prüfkriterien_1121[[#Headers],[Spalte3]])</f>
        <v>3</v>
      </c>
      <c r="D178" s="45">
        <f>(Prüfkriterien_1121[Spalte2]+200)/10</f>
        <v>20.3</v>
      </c>
      <c r="E178" s="31"/>
      <c r="F178" s="32"/>
      <c r="G178" s="32"/>
      <c r="H178" s="70"/>
      <c r="I178" s="70"/>
      <c r="J178" s="70"/>
      <c r="K178" s="70"/>
      <c r="L178" s="70"/>
      <c r="M178" s="49"/>
    </row>
    <row r="179" spans="2:13" hidden="1" x14ac:dyDescent="0.25">
      <c r="B179" s="44" t="str">
        <f>CONCATENATE("20.",Prüfkriterien_1121[[#This Row],[Spalte2]])</f>
        <v>20.4</v>
      </c>
      <c r="C179" s="45">
        <f>ROW()-ROW(Prüfkriterien_1121[[#Headers],[Spalte3]])</f>
        <v>4</v>
      </c>
      <c r="D179" s="45">
        <f>(Prüfkriterien_1121[Spalte2]+200)/10</f>
        <v>20.399999999999999</v>
      </c>
      <c r="E179" s="31"/>
      <c r="F179" s="32"/>
      <c r="G179" s="32"/>
      <c r="H179" s="70"/>
      <c r="I179" s="70"/>
      <c r="J179" s="70"/>
      <c r="K179" s="70"/>
      <c r="L179" s="70"/>
      <c r="M179" s="49"/>
    </row>
    <row r="180" spans="2:13" hidden="1" x14ac:dyDescent="0.25">
      <c r="B180" s="56" t="str">
        <f>CONCATENATE("20.",Prüfkriterien_1121[[#This Row],[Spalte2]])</f>
        <v>20.5</v>
      </c>
      <c r="C180" s="57">
        <f>ROW()-ROW(Prüfkriterien_1121[[#Headers],[Spalte3]])</f>
        <v>5</v>
      </c>
      <c r="D180" s="57">
        <f>(Prüfkriterien_1121[Spalte2]+200)/10</f>
        <v>20.5</v>
      </c>
      <c r="E180" s="58"/>
      <c r="F180" s="59"/>
      <c r="G180" s="59"/>
      <c r="H180" s="70"/>
      <c r="I180" s="70"/>
      <c r="J180" s="70"/>
      <c r="K180" s="70"/>
      <c r="L180" s="70"/>
      <c r="M180" s="87"/>
    </row>
    <row r="181" spans="2:13" hidden="1" x14ac:dyDescent="0.25"/>
  </sheetData>
  <sheetProtection formatCells="0" formatRows="0" insertRows="0" deleteRows="0"/>
  <mergeCells count="32">
    <mergeCell ref="B153:M153"/>
    <mergeCell ref="B160:M160"/>
    <mergeCell ref="B167:M167"/>
    <mergeCell ref="B174:M174"/>
    <mergeCell ref="B118:M118"/>
    <mergeCell ref="B125:M125"/>
    <mergeCell ref="B132:M132"/>
    <mergeCell ref="B139:M139"/>
    <mergeCell ref="B146:M146"/>
    <mergeCell ref="B69:M69"/>
    <mergeCell ref="C4:K4"/>
    <mergeCell ref="B6:B7"/>
    <mergeCell ref="C6:C7"/>
    <mergeCell ref="E6:E7"/>
    <mergeCell ref="F6:F7"/>
    <mergeCell ref="G6:G7"/>
    <mergeCell ref="H6:L6"/>
    <mergeCell ref="M6:M7"/>
    <mergeCell ref="D6:D7"/>
    <mergeCell ref="B62:M62"/>
    <mergeCell ref="B2:M2"/>
    <mergeCell ref="B5:M5"/>
    <mergeCell ref="B8:M8"/>
    <mergeCell ref="B20:M20"/>
    <mergeCell ref="B45:M45"/>
    <mergeCell ref="B3:M3"/>
    <mergeCell ref="B111:M111"/>
    <mergeCell ref="B76:M76"/>
    <mergeCell ref="B83:M83"/>
    <mergeCell ref="B90:M90"/>
    <mergeCell ref="B97:M97"/>
    <mergeCell ref="B104:M104"/>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NOT(ISERROR(SEARCH("grau",H21)))</xm:f>
            <xm:f>"grau"</xm:f>
            <x14:dxf>
              <font>
                <color rgb="FF808080"/>
              </font>
              <fill>
                <patternFill>
                  <bgColor rgb="FF808080"/>
                </patternFill>
              </fill>
            </x14:dxf>
          </x14:cfRule>
          <xm:sqref>H70:L70 H46:L46 H21:L21 H63:L63</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H10:L19 H47:L61</xm:sqref>
        </x14:conditionalFormatting>
        <x14:conditionalFormatting xmlns:xm="http://schemas.microsoft.com/office/excel/2006/main">
          <x14:cfRule type="containsText" priority="34" operator="containsText" id="{3EA6EFDB-E455-4F38-A982-1E38324F0343}">
            <xm:f>NOT(ISERROR(SEARCH("grau",H77)))</xm:f>
            <xm:f>"grau"</xm:f>
            <x14:dxf>
              <font>
                <color rgb="FF808080"/>
              </font>
              <fill>
                <patternFill>
                  <bgColor rgb="FF808080"/>
                </patternFill>
              </fill>
            </x14:dxf>
          </x14:cfRule>
          <xm:sqref>H77:L77</xm:sqref>
        </x14:conditionalFormatting>
        <x14:conditionalFormatting xmlns:xm="http://schemas.microsoft.com/office/excel/2006/main">
          <x14:cfRule type="containsText" priority="33" operator="containsText" id="{5BEAB68E-34A9-4110-B056-50320AFBCCB0}">
            <xm:f>NOT(ISERROR(SEARCH("grau",H84)))</xm:f>
            <xm:f>"grau"</xm:f>
            <x14:dxf>
              <font>
                <color rgb="FF808080"/>
              </font>
              <fill>
                <patternFill>
                  <bgColor rgb="FF808080"/>
                </patternFill>
              </fill>
            </x14:dxf>
          </x14:cfRule>
          <xm:sqref>H84:L84</xm:sqref>
        </x14:conditionalFormatting>
        <x14:conditionalFormatting xmlns:xm="http://schemas.microsoft.com/office/excel/2006/main">
          <x14:cfRule type="containsText" priority="32" operator="containsText" id="{CF7EDDB7-2157-4E54-80CC-AC6AB6FBA5CD}">
            <xm:f>NOT(ISERROR(SEARCH("grau",H91)))</xm:f>
            <xm:f>"grau"</xm:f>
            <x14:dxf>
              <font>
                <color rgb="FF808080"/>
              </font>
              <fill>
                <patternFill>
                  <bgColor rgb="FF808080"/>
                </patternFill>
              </fill>
            </x14:dxf>
          </x14:cfRule>
          <xm:sqref>H91:L91</xm:sqref>
        </x14:conditionalFormatting>
        <x14:conditionalFormatting xmlns:xm="http://schemas.microsoft.com/office/excel/2006/main">
          <x14:cfRule type="containsText" priority="31" operator="containsText" id="{A15A7D79-1345-4D48-A805-61E375A492E8}">
            <xm:f>NOT(ISERROR(SEARCH("grau",H98)))</xm:f>
            <xm:f>"grau"</xm:f>
            <x14:dxf>
              <font>
                <color rgb="FF808080"/>
              </font>
              <fill>
                <patternFill>
                  <bgColor rgb="FF808080"/>
                </patternFill>
              </fill>
            </x14:dxf>
          </x14:cfRule>
          <xm:sqref>H98:L98</xm:sqref>
        </x14:conditionalFormatting>
        <x14:conditionalFormatting xmlns:xm="http://schemas.microsoft.com/office/excel/2006/main">
          <x14:cfRule type="containsText" priority="30" operator="containsText" id="{24D64CB9-06C8-4AB6-96E9-068B2C93B725}">
            <xm:f>NOT(ISERROR(SEARCH("grau",H105)))</xm:f>
            <xm:f>"grau"</xm:f>
            <x14:dxf>
              <font>
                <color rgb="FF808080"/>
              </font>
              <fill>
                <patternFill>
                  <bgColor rgb="FF808080"/>
                </patternFill>
              </fill>
            </x14:dxf>
          </x14:cfRule>
          <xm:sqref>H105:L105</xm:sqref>
        </x14:conditionalFormatting>
        <x14:conditionalFormatting xmlns:xm="http://schemas.microsoft.com/office/excel/2006/main">
          <x14:cfRule type="containsText" priority="29" operator="containsText" id="{04852FE4-12C5-447A-9DDA-1F52D59ECA2D}">
            <xm:f>NOT(ISERROR(SEARCH("grau",H112)))</xm:f>
            <xm:f>"grau"</xm:f>
            <x14:dxf>
              <font>
                <color rgb="FF808080"/>
              </font>
              <fill>
                <patternFill>
                  <bgColor rgb="FF808080"/>
                </patternFill>
              </fill>
            </x14:dxf>
          </x14:cfRule>
          <xm:sqref>H112:L112</xm:sqref>
        </x14:conditionalFormatting>
        <x14:conditionalFormatting xmlns:xm="http://schemas.microsoft.com/office/excel/2006/main">
          <x14:cfRule type="containsText" priority="28" operator="containsText" id="{1B11C437-34B9-47E8-A189-06DEB20FD13E}">
            <xm:f>NOT(ISERROR(SEARCH("grau",H22)))</xm:f>
            <xm:f>"grau"</xm:f>
            <x14:dxf>
              <font>
                <strike val="0"/>
                <color rgb="FF808080"/>
              </font>
              <fill>
                <patternFill>
                  <bgColor rgb="FF808080"/>
                </patternFill>
              </fill>
            </x14:dxf>
          </x14:cfRule>
          <xm:sqref>H22:L44</xm:sqref>
        </x14:conditionalFormatting>
        <x14:conditionalFormatting xmlns:xm="http://schemas.microsoft.com/office/excel/2006/main">
          <x14:cfRule type="containsText" priority="26" operator="containsText" id="{6B2630DF-0152-463B-8E8F-7DFFBBDC35B1}">
            <xm:f>NOT(ISERROR(SEARCH("grau",H64)))</xm:f>
            <xm:f>"grau"</xm:f>
            <x14:dxf>
              <font>
                <strike val="0"/>
                <color rgb="FF808080"/>
              </font>
              <fill>
                <patternFill>
                  <bgColor rgb="FF808080"/>
                </patternFill>
              </fill>
            </x14:dxf>
          </x14:cfRule>
          <xm:sqref>H64:L68</xm:sqref>
        </x14:conditionalFormatting>
        <x14:conditionalFormatting xmlns:xm="http://schemas.microsoft.com/office/excel/2006/main">
          <x14:cfRule type="containsText" priority="25" operator="containsText" id="{BA89E90E-1A93-4265-9930-A96334178A3E}">
            <xm:f>NOT(ISERROR(SEARCH("grau",H71)))</xm:f>
            <xm:f>"grau"</xm:f>
            <x14:dxf>
              <font>
                <strike val="0"/>
                <color rgb="FF808080"/>
              </font>
              <fill>
                <patternFill>
                  <bgColor rgb="FF808080"/>
                </patternFill>
              </fill>
            </x14:dxf>
          </x14:cfRule>
          <xm:sqref>H71:L75</xm:sqref>
        </x14:conditionalFormatting>
        <x14:conditionalFormatting xmlns:xm="http://schemas.microsoft.com/office/excel/2006/main">
          <x14:cfRule type="containsText" priority="24" operator="containsText" id="{772EE153-1058-4481-81EC-EC79110DF832}">
            <xm:f>NOT(ISERROR(SEARCH("grau",H78)))</xm:f>
            <xm:f>"grau"</xm:f>
            <x14:dxf>
              <font>
                <strike val="0"/>
                <color rgb="FF808080"/>
              </font>
              <fill>
                <patternFill>
                  <bgColor rgb="FF808080"/>
                </patternFill>
              </fill>
            </x14:dxf>
          </x14:cfRule>
          <xm:sqref>H78:L82</xm:sqref>
        </x14:conditionalFormatting>
        <x14:conditionalFormatting xmlns:xm="http://schemas.microsoft.com/office/excel/2006/main">
          <x14:cfRule type="containsText" priority="23" operator="containsText" id="{06310DAF-FAF1-4357-994B-C506C512BAA5}">
            <xm:f>NOT(ISERROR(SEARCH("grau",H85)))</xm:f>
            <xm:f>"grau"</xm:f>
            <x14:dxf>
              <font>
                <strike val="0"/>
                <color rgb="FF808080"/>
              </font>
              <fill>
                <patternFill>
                  <bgColor rgb="FF808080"/>
                </patternFill>
              </fill>
            </x14:dxf>
          </x14:cfRule>
          <xm:sqref>H85:L89</xm:sqref>
        </x14:conditionalFormatting>
        <x14:conditionalFormatting xmlns:xm="http://schemas.microsoft.com/office/excel/2006/main">
          <x14:cfRule type="containsText" priority="22" operator="containsText" id="{F50A2E74-AEBA-4758-8579-E6C27D5A40FF}">
            <xm:f>NOT(ISERROR(SEARCH("grau",H92)))</xm:f>
            <xm:f>"grau"</xm:f>
            <x14:dxf>
              <font>
                <strike val="0"/>
                <color rgb="FF808080"/>
              </font>
              <fill>
                <patternFill>
                  <bgColor rgb="FF808080"/>
                </patternFill>
              </fill>
            </x14:dxf>
          </x14:cfRule>
          <xm:sqref>H92:L96</xm:sqref>
        </x14:conditionalFormatting>
        <x14:conditionalFormatting xmlns:xm="http://schemas.microsoft.com/office/excel/2006/main">
          <x14:cfRule type="containsText" priority="21" operator="containsText" id="{B52103CB-7894-4E3D-8105-E260B710669F}">
            <xm:f>NOT(ISERROR(SEARCH("grau",H99)))</xm:f>
            <xm:f>"grau"</xm:f>
            <x14:dxf>
              <font>
                <strike val="0"/>
                <color rgb="FF808080"/>
              </font>
              <fill>
                <patternFill>
                  <bgColor rgb="FF808080"/>
                </patternFill>
              </fill>
            </x14:dxf>
          </x14:cfRule>
          <xm:sqref>H99:L103</xm:sqref>
        </x14:conditionalFormatting>
        <x14:conditionalFormatting xmlns:xm="http://schemas.microsoft.com/office/excel/2006/main">
          <x14:cfRule type="containsText" priority="20" operator="containsText" id="{827CEE01-C27D-4F34-B9BE-B7A4EC61EFE4}">
            <xm:f>NOT(ISERROR(SEARCH("grau",H106)))</xm:f>
            <xm:f>"grau"</xm:f>
            <x14:dxf>
              <font>
                <strike val="0"/>
                <color rgb="FF808080"/>
              </font>
              <fill>
                <patternFill>
                  <bgColor rgb="FF808080"/>
                </patternFill>
              </fill>
            </x14:dxf>
          </x14:cfRule>
          <xm:sqref>H106:L110</xm:sqref>
        </x14:conditionalFormatting>
        <x14:conditionalFormatting xmlns:xm="http://schemas.microsoft.com/office/excel/2006/main">
          <x14:cfRule type="containsText" priority="19" operator="containsText" id="{218E882A-790B-45BF-80A1-9D31AB0FD7DC}">
            <xm:f>NOT(ISERROR(SEARCH("grau",H113)))</xm:f>
            <xm:f>"grau"</xm:f>
            <x14:dxf>
              <font>
                <strike val="0"/>
                <color rgb="FF808080"/>
              </font>
              <fill>
                <patternFill>
                  <bgColor rgb="FF808080"/>
                </patternFill>
              </fill>
            </x14:dxf>
          </x14:cfRule>
          <xm:sqref>H113:L117</xm:sqref>
        </x14:conditionalFormatting>
        <x14:conditionalFormatting xmlns:xm="http://schemas.microsoft.com/office/excel/2006/main">
          <x14:cfRule type="containsText" priority="18" operator="containsText" id="{8E345CC0-DE0C-461B-84CB-B06D057E989D}">
            <xm:f>NOT(ISERROR(SEARCH("grau",H119)))</xm:f>
            <xm:f>"grau"</xm:f>
            <x14:dxf>
              <font>
                <color rgb="FF808080"/>
              </font>
              <fill>
                <patternFill>
                  <bgColor rgb="FF808080"/>
                </patternFill>
              </fill>
            </x14:dxf>
          </x14:cfRule>
          <xm:sqref>H119:L119</xm:sqref>
        </x14:conditionalFormatting>
        <x14:conditionalFormatting xmlns:xm="http://schemas.microsoft.com/office/excel/2006/main">
          <x14:cfRule type="containsText" priority="17" operator="containsText" id="{48CBEDB5-1637-4C2B-82B1-16772B04E6CB}">
            <xm:f>NOT(ISERROR(SEARCH("grau",H120)))</xm:f>
            <xm:f>"grau"</xm:f>
            <x14:dxf>
              <font>
                <strike val="0"/>
                <color rgb="FF808080"/>
              </font>
              <fill>
                <patternFill>
                  <bgColor rgb="FF808080"/>
                </patternFill>
              </fill>
            </x14:dxf>
          </x14:cfRule>
          <xm:sqref>H120:L124</xm:sqref>
        </x14:conditionalFormatting>
        <x14:conditionalFormatting xmlns:xm="http://schemas.microsoft.com/office/excel/2006/main">
          <x14:cfRule type="containsText" priority="16" operator="containsText" id="{2745B01A-6B99-4D67-B14B-FF7B2C06CC6F}">
            <xm:f>NOT(ISERROR(SEARCH("grau",H126)))</xm:f>
            <xm:f>"grau"</xm:f>
            <x14:dxf>
              <font>
                <color rgb="FF808080"/>
              </font>
              <fill>
                <patternFill>
                  <bgColor rgb="FF808080"/>
                </patternFill>
              </fill>
            </x14:dxf>
          </x14:cfRule>
          <xm:sqref>H126:L126</xm:sqref>
        </x14:conditionalFormatting>
        <x14:conditionalFormatting xmlns:xm="http://schemas.microsoft.com/office/excel/2006/main">
          <x14:cfRule type="containsText" priority="15" operator="containsText" id="{2C607EA8-22BC-4BCE-BA4C-AD5D8703291B}">
            <xm:f>NOT(ISERROR(SEARCH("grau",H127)))</xm:f>
            <xm:f>"grau"</xm:f>
            <x14:dxf>
              <font>
                <strike val="0"/>
                <color rgb="FF808080"/>
              </font>
              <fill>
                <patternFill>
                  <bgColor rgb="FF808080"/>
                </patternFill>
              </fill>
            </x14:dxf>
          </x14:cfRule>
          <xm:sqref>H127:L131</xm:sqref>
        </x14:conditionalFormatting>
        <x14:conditionalFormatting xmlns:xm="http://schemas.microsoft.com/office/excel/2006/main">
          <x14:cfRule type="containsText" priority="14" operator="containsText" id="{A58EDBC0-A6FA-4B98-98F1-D1DB4AB1F494}">
            <xm:f>NOT(ISERROR(SEARCH("grau",H133)))</xm:f>
            <xm:f>"grau"</xm:f>
            <x14:dxf>
              <font>
                <color rgb="FF808080"/>
              </font>
              <fill>
                <patternFill>
                  <bgColor rgb="FF808080"/>
                </patternFill>
              </fill>
            </x14:dxf>
          </x14:cfRule>
          <xm:sqref>H133:L133</xm:sqref>
        </x14:conditionalFormatting>
        <x14:conditionalFormatting xmlns:xm="http://schemas.microsoft.com/office/excel/2006/main">
          <x14:cfRule type="containsText" priority="13" operator="containsText" id="{D4F9F991-0D7C-425F-BD70-B29CC01E04B4}">
            <xm:f>NOT(ISERROR(SEARCH("grau",H134)))</xm:f>
            <xm:f>"grau"</xm:f>
            <x14:dxf>
              <font>
                <strike val="0"/>
                <color rgb="FF808080"/>
              </font>
              <fill>
                <patternFill>
                  <bgColor rgb="FF808080"/>
                </patternFill>
              </fill>
            </x14:dxf>
          </x14:cfRule>
          <xm:sqref>H134:L138</xm:sqref>
        </x14:conditionalFormatting>
        <x14:conditionalFormatting xmlns:xm="http://schemas.microsoft.com/office/excel/2006/main">
          <x14:cfRule type="containsText" priority="12" operator="containsText" id="{A6240BDF-9D8E-4AEB-AAAF-8DCB63CA9EF0}">
            <xm:f>NOT(ISERROR(SEARCH("grau",H140)))</xm:f>
            <xm:f>"grau"</xm:f>
            <x14:dxf>
              <font>
                <color rgb="FF808080"/>
              </font>
              <fill>
                <patternFill>
                  <bgColor rgb="FF808080"/>
                </patternFill>
              </fill>
            </x14:dxf>
          </x14:cfRule>
          <xm:sqref>H140:L140</xm:sqref>
        </x14:conditionalFormatting>
        <x14:conditionalFormatting xmlns:xm="http://schemas.microsoft.com/office/excel/2006/main">
          <x14:cfRule type="containsText" priority="11" operator="containsText" id="{EC130479-BD0B-42F6-9E65-D6C69ABD6103}">
            <xm:f>NOT(ISERROR(SEARCH("grau",H141)))</xm:f>
            <xm:f>"grau"</xm:f>
            <x14:dxf>
              <font>
                <strike val="0"/>
                <color rgb="FF808080"/>
              </font>
              <fill>
                <patternFill>
                  <bgColor rgb="FF808080"/>
                </patternFill>
              </fill>
            </x14:dxf>
          </x14:cfRule>
          <xm:sqref>H141:L145</xm:sqref>
        </x14:conditionalFormatting>
        <x14:conditionalFormatting xmlns:xm="http://schemas.microsoft.com/office/excel/2006/main">
          <x14:cfRule type="containsText" priority="10" operator="containsText" id="{2F8D4FCA-C500-4988-97CB-13959DA3FA17}">
            <xm:f>NOT(ISERROR(SEARCH("grau",H147)))</xm:f>
            <xm:f>"grau"</xm:f>
            <x14:dxf>
              <font>
                <color rgb="FF808080"/>
              </font>
              <fill>
                <patternFill>
                  <bgColor rgb="FF808080"/>
                </patternFill>
              </fill>
            </x14:dxf>
          </x14:cfRule>
          <xm:sqref>H147:L147</xm:sqref>
        </x14:conditionalFormatting>
        <x14:conditionalFormatting xmlns:xm="http://schemas.microsoft.com/office/excel/2006/main">
          <x14:cfRule type="containsText" priority="9" operator="containsText" id="{3F7C17B3-051D-4DA6-AAAD-F7B80CAAC817}">
            <xm:f>NOT(ISERROR(SEARCH("grau",H148)))</xm:f>
            <xm:f>"grau"</xm:f>
            <x14:dxf>
              <font>
                <strike val="0"/>
                <color rgb="FF808080"/>
              </font>
              <fill>
                <patternFill>
                  <bgColor rgb="FF808080"/>
                </patternFill>
              </fill>
            </x14:dxf>
          </x14:cfRule>
          <xm:sqref>H148:L152</xm:sqref>
        </x14:conditionalFormatting>
        <x14:conditionalFormatting xmlns:xm="http://schemas.microsoft.com/office/excel/2006/main">
          <x14:cfRule type="containsText" priority="8" operator="containsText" id="{7CF32196-035C-4D7B-AF6D-E5B2AF7CFDA1}">
            <xm:f>NOT(ISERROR(SEARCH("grau",H154)))</xm:f>
            <xm:f>"grau"</xm:f>
            <x14:dxf>
              <font>
                <color rgb="FF808080"/>
              </font>
              <fill>
                <patternFill>
                  <bgColor rgb="FF808080"/>
                </patternFill>
              </fill>
            </x14:dxf>
          </x14:cfRule>
          <xm:sqref>H154:L154</xm:sqref>
        </x14:conditionalFormatting>
        <x14:conditionalFormatting xmlns:xm="http://schemas.microsoft.com/office/excel/2006/main">
          <x14:cfRule type="containsText" priority="7" operator="containsText" id="{005F44DA-8ED1-40F8-918F-95B50E2B411F}">
            <xm:f>NOT(ISERROR(SEARCH("grau",H155)))</xm:f>
            <xm:f>"grau"</xm:f>
            <x14:dxf>
              <font>
                <strike val="0"/>
                <color rgb="FF808080"/>
              </font>
              <fill>
                <patternFill>
                  <bgColor rgb="FF808080"/>
                </patternFill>
              </fill>
            </x14:dxf>
          </x14:cfRule>
          <xm:sqref>H155:L159</xm:sqref>
        </x14:conditionalFormatting>
        <x14:conditionalFormatting xmlns:xm="http://schemas.microsoft.com/office/excel/2006/main">
          <x14:cfRule type="containsText" priority="6" operator="containsText" id="{D6EE660F-1F85-498B-B195-794B81D7EA0E}">
            <xm:f>NOT(ISERROR(SEARCH("grau",H161)))</xm:f>
            <xm:f>"grau"</xm:f>
            <x14:dxf>
              <font>
                <color rgb="FF808080"/>
              </font>
              <fill>
                <patternFill>
                  <bgColor rgb="FF808080"/>
                </patternFill>
              </fill>
            </x14:dxf>
          </x14:cfRule>
          <xm:sqref>H161:L161</xm:sqref>
        </x14:conditionalFormatting>
        <x14:conditionalFormatting xmlns:xm="http://schemas.microsoft.com/office/excel/2006/main">
          <x14:cfRule type="containsText" priority="5" operator="containsText" id="{1D09D131-1670-48F3-9ABB-5C9A27C8CD32}">
            <xm:f>NOT(ISERROR(SEARCH("grau",H162)))</xm:f>
            <xm:f>"grau"</xm:f>
            <x14:dxf>
              <font>
                <strike val="0"/>
                <color rgb="FF808080"/>
              </font>
              <fill>
                <patternFill>
                  <bgColor rgb="FF808080"/>
                </patternFill>
              </fill>
            </x14:dxf>
          </x14:cfRule>
          <xm:sqref>H162:L166</xm:sqref>
        </x14:conditionalFormatting>
        <x14:conditionalFormatting xmlns:xm="http://schemas.microsoft.com/office/excel/2006/main">
          <x14:cfRule type="containsText" priority="4" operator="containsText" id="{0082BE03-A596-49DC-9BBD-A15A39603DAB}">
            <xm:f>NOT(ISERROR(SEARCH("grau",H168)))</xm:f>
            <xm:f>"grau"</xm:f>
            <x14:dxf>
              <font>
                <color rgb="FF808080"/>
              </font>
              <fill>
                <patternFill>
                  <bgColor rgb="FF808080"/>
                </patternFill>
              </fill>
            </x14:dxf>
          </x14:cfRule>
          <xm:sqref>H168:L168</xm:sqref>
        </x14:conditionalFormatting>
        <x14:conditionalFormatting xmlns:xm="http://schemas.microsoft.com/office/excel/2006/main">
          <x14:cfRule type="containsText" priority="3" operator="containsText" id="{DED33027-2ADF-45CB-9CF4-BE3D6D744524}">
            <xm:f>NOT(ISERROR(SEARCH("grau",H169)))</xm:f>
            <xm:f>"grau"</xm:f>
            <x14:dxf>
              <font>
                <strike val="0"/>
                <color rgb="FF808080"/>
              </font>
              <fill>
                <patternFill>
                  <bgColor rgb="FF808080"/>
                </patternFill>
              </fill>
            </x14:dxf>
          </x14:cfRule>
          <xm:sqref>H169:L173</xm:sqref>
        </x14:conditionalFormatting>
        <x14:conditionalFormatting xmlns:xm="http://schemas.microsoft.com/office/excel/2006/main">
          <x14:cfRule type="containsText" priority="2" operator="containsText" id="{6D6357F8-C7B5-406D-9C39-13A5AFFEF2ED}">
            <xm:f>NOT(ISERROR(SEARCH("grau",H175)))</xm:f>
            <xm:f>"grau"</xm:f>
            <x14:dxf>
              <font>
                <color rgb="FF808080"/>
              </font>
              <fill>
                <patternFill>
                  <bgColor rgb="FF808080"/>
                </patternFill>
              </fill>
            </x14:dxf>
          </x14:cfRule>
          <xm:sqref>H175:L175</xm:sqref>
        </x14:conditionalFormatting>
        <x14:conditionalFormatting xmlns:xm="http://schemas.microsoft.com/office/excel/2006/main">
          <x14:cfRule type="containsText" priority="1" operator="containsText" id="{3EC64251-44EC-4CE4-A3E0-EA72EF322F25}">
            <xm:f>NOT(ISERROR(SEARCH("grau",H176)))</xm:f>
            <xm:f>"grau"</xm:f>
            <x14:dxf>
              <font>
                <strike val="0"/>
                <color rgb="FF808080"/>
              </font>
              <fill>
                <patternFill>
                  <bgColor rgb="FF808080"/>
                </patternFill>
              </fill>
            </x14:dxf>
          </x14:cfRule>
          <xm:sqref>H176:L180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I70:J70</xm:sqref>
        </x14:dataValidation>
        <x14:dataValidation type="list" allowBlank="1" showInputMessage="1" showErrorMessage="1">
          <x14:formula1>
            <xm:f>Einstellungen!$C$9:$C$11</xm:f>
          </x14:formula1>
          <xm:sqref>H9:L19 H105:L110 H21:L44 H63:L68 H70:L75 H77:L82 H84:L89 H91:L96 H98:L103 H112:L117 H119:L124 H126:L131 H133:L138 H140:L145 H147:L152 H154:L159 H161:L166 H168:L173 H175:L180 H46:L61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218"/>
  <sheetViews>
    <sheetView zoomScale="80" zoomScaleNormal="80" zoomScaleSheetLayoutView="80" workbookViewId="0">
      <pane ySplit="7" topLeftCell="A8" activePane="bottomLeft" state="frozen"/>
      <selection activeCell="F178" sqref="F178"/>
      <selection pane="bottomLeft" activeCell="F33" sqref="F33"/>
    </sheetView>
  </sheetViews>
  <sheetFormatPr baseColWidth="10" defaultColWidth="8.88671875" defaultRowHeight="13.2" x14ac:dyDescent="0.25"/>
  <cols>
    <col min="1" max="1" width="1.109375" style="2" customWidth="1"/>
    <col min="2" max="2" width="8.6640625" style="89" customWidth="1"/>
    <col min="3" max="4" width="18.33203125" style="64" hidden="1" customWidth="1"/>
    <col min="5" max="5" width="12.6640625" style="65" customWidth="1"/>
    <col min="6" max="7" width="40.6640625" style="2" customWidth="1"/>
    <col min="8" max="10" width="9.6640625" style="2" customWidth="1"/>
    <col min="11" max="11" width="10.33203125" style="2" customWidth="1"/>
    <col min="12" max="12" width="10.6640625" style="2" customWidth="1"/>
    <col min="13" max="13" width="52.6640625" style="2" customWidth="1"/>
    <col min="14" max="14" width="1.109375" style="2" customWidth="1"/>
    <col min="15" max="16384" width="8.88671875" style="2"/>
  </cols>
  <sheetData>
    <row r="1" spans="2:13" s="10" customFormat="1" ht="6" customHeight="1" x14ac:dyDescent="0.3">
      <c r="B1" s="28"/>
      <c r="C1" s="16"/>
      <c r="D1" s="16"/>
      <c r="G1" s="16"/>
    </row>
    <row r="2" spans="2:13" s="37" customFormat="1" ht="18" customHeight="1" x14ac:dyDescent="0.3">
      <c r="B2" s="150" t="str">
        <f>"Checkliste "&amp;_RLV&amp;""</f>
        <v>Checkliste Mindestanforderungen Ferkelerzeugung und Ferkelaufzucht - erweitert</v>
      </c>
      <c r="C2" s="150"/>
      <c r="D2" s="150"/>
      <c r="E2" s="150"/>
      <c r="F2" s="150"/>
      <c r="G2" s="150"/>
      <c r="H2" s="150"/>
      <c r="I2" s="150"/>
      <c r="J2" s="150"/>
      <c r="K2" s="150"/>
      <c r="L2" s="150"/>
      <c r="M2" s="150"/>
    </row>
    <row r="3" spans="2:13" s="19" customFormat="1" ht="26.1" customHeight="1" x14ac:dyDescent="0.3">
      <c r="B3" s="180" t="s">
        <v>245</v>
      </c>
      <c r="C3" s="181"/>
      <c r="D3" s="181"/>
      <c r="E3" s="181"/>
      <c r="F3" s="181"/>
      <c r="G3" s="181"/>
      <c r="H3" s="181"/>
      <c r="I3" s="181"/>
      <c r="J3" s="181"/>
      <c r="K3" s="181"/>
      <c r="L3" s="181"/>
      <c r="M3" s="181"/>
    </row>
    <row r="4" spans="2:13" s="10" customFormat="1" ht="27" customHeight="1" x14ac:dyDescent="0.3">
      <c r="B4" s="83" t="s">
        <v>19</v>
      </c>
      <c r="C4" s="182"/>
      <c r="D4" s="182"/>
      <c r="E4" s="182"/>
      <c r="F4" s="182"/>
      <c r="G4" s="182"/>
      <c r="H4" s="182"/>
      <c r="I4" s="182"/>
      <c r="J4" s="182"/>
      <c r="K4" s="182"/>
      <c r="M4" s="77"/>
    </row>
    <row r="5" spans="2:13" ht="27" customHeight="1" x14ac:dyDescent="0.25">
      <c r="B5" s="162" t="s">
        <v>30</v>
      </c>
      <c r="C5" s="162"/>
      <c r="D5" s="162"/>
      <c r="E5" s="162"/>
      <c r="F5" s="162"/>
      <c r="G5" s="162"/>
      <c r="H5" s="162"/>
      <c r="I5" s="162"/>
      <c r="J5" s="162"/>
      <c r="K5" s="162"/>
      <c r="L5" s="162"/>
      <c r="M5" s="162"/>
    </row>
    <row r="6" spans="2:13" s="27" customFormat="1" ht="26.4" customHeight="1" x14ac:dyDescent="0.3">
      <c r="B6" s="183" t="s">
        <v>31</v>
      </c>
      <c r="C6" s="185" t="s">
        <v>44</v>
      </c>
      <c r="D6" s="185" t="s">
        <v>45</v>
      </c>
      <c r="E6" s="187" t="s">
        <v>32</v>
      </c>
      <c r="F6" s="185" t="s">
        <v>33</v>
      </c>
      <c r="G6" s="189" t="s">
        <v>34</v>
      </c>
      <c r="H6" s="191" t="s">
        <v>23</v>
      </c>
      <c r="I6" s="192"/>
      <c r="J6" s="192"/>
      <c r="K6" s="192"/>
      <c r="L6" s="193"/>
      <c r="M6" s="185" t="s">
        <v>83</v>
      </c>
    </row>
    <row r="7" spans="2:13" x14ac:dyDescent="0.25">
      <c r="B7" s="184"/>
      <c r="C7" s="186"/>
      <c r="D7" s="186"/>
      <c r="E7" s="188"/>
      <c r="F7" s="186"/>
      <c r="G7" s="190"/>
      <c r="H7" s="90" t="s">
        <v>37</v>
      </c>
      <c r="I7" s="90" t="s">
        <v>26</v>
      </c>
      <c r="J7" s="90" t="s">
        <v>27</v>
      </c>
      <c r="K7" s="90" t="s">
        <v>28</v>
      </c>
      <c r="L7" s="90" t="s">
        <v>290</v>
      </c>
      <c r="M7" s="186"/>
    </row>
    <row r="8" spans="2:13" s="26" customFormat="1" x14ac:dyDescent="0.25">
      <c r="B8" s="176" t="s">
        <v>317</v>
      </c>
      <c r="C8" s="177"/>
      <c r="D8" s="177"/>
      <c r="E8" s="177"/>
      <c r="F8" s="177"/>
      <c r="G8" s="177"/>
      <c r="H8" s="177"/>
      <c r="I8" s="177"/>
      <c r="J8" s="177"/>
      <c r="K8" s="177"/>
      <c r="L8" s="177"/>
      <c r="M8" s="178"/>
    </row>
    <row r="9" spans="2:13" ht="26.4" hidden="1" x14ac:dyDescent="0.25">
      <c r="B9" s="29" t="s">
        <v>31</v>
      </c>
      <c r="C9" s="35" t="s">
        <v>44</v>
      </c>
      <c r="D9" s="35" t="s">
        <v>45</v>
      </c>
      <c r="E9" s="41" t="s">
        <v>32</v>
      </c>
      <c r="F9" s="42" t="s">
        <v>33</v>
      </c>
      <c r="G9" s="43" t="s">
        <v>34</v>
      </c>
      <c r="H9" s="36" t="s">
        <v>23</v>
      </c>
      <c r="I9" s="36" t="s">
        <v>39</v>
      </c>
      <c r="J9" s="36" t="s">
        <v>40</v>
      </c>
      <c r="K9" s="36" t="s">
        <v>41</v>
      </c>
      <c r="L9" s="36" t="s">
        <v>42</v>
      </c>
      <c r="M9" s="30" t="s">
        <v>35</v>
      </c>
    </row>
    <row r="10" spans="2:13" s="62" customFormat="1" ht="90" customHeight="1" x14ac:dyDescent="0.25">
      <c r="B10" s="50" t="str">
        <f>CONCATENATE("4.",Prüfkriterien_142[[#This Row],[Hilfsspalte_Num]])</f>
        <v>4.1</v>
      </c>
      <c r="C10" s="51">
        <f>ROW()-ROW(Prüfkriterien_142[[#Headers],[Hilfsspalte_Kom]])</f>
        <v>1</v>
      </c>
      <c r="D10" s="52">
        <f>(Prüfkriterien_142[Hilfsspalte_Num]+10)/10</f>
        <v>1.1000000000000001</v>
      </c>
      <c r="E10" s="48" t="s">
        <v>213</v>
      </c>
      <c r="F10" s="32" t="s">
        <v>177</v>
      </c>
      <c r="G10" s="32" t="s">
        <v>166</v>
      </c>
      <c r="H10" s="38" t="s">
        <v>63</v>
      </c>
      <c r="I10" s="38"/>
      <c r="J10" s="38"/>
      <c r="K10" s="38"/>
      <c r="L10" s="38"/>
      <c r="M10" s="49"/>
    </row>
    <row r="11" spans="2:13" s="62" customFormat="1" ht="55.2" customHeight="1" x14ac:dyDescent="0.25">
      <c r="B11" s="50" t="str">
        <f>CONCATENATE("4.",Prüfkriterien_142[[#This Row],[Hilfsspalte_Num]])</f>
        <v>4.2</v>
      </c>
      <c r="C11" s="51">
        <f>ROW()-ROW(Prüfkriterien_142[[#Headers],[Hilfsspalte_Kom]])</f>
        <v>2</v>
      </c>
      <c r="D11" s="52">
        <f>(Prüfkriterien_142[Hilfsspalte_Num]+10)/10</f>
        <v>1.2</v>
      </c>
      <c r="E11" s="41" t="s">
        <v>213</v>
      </c>
      <c r="F11" s="42" t="s">
        <v>178</v>
      </c>
      <c r="G11" s="43" t="s">
        <v>247</v>
      </c>
      <c r="H11" s="38"/>
      <c r="I11" s="38"/>
      <c r="J11" s="38"/>
      <c r="K11" s="38"/>
      <c r="L11" s="38"/>
      <c r="M11" s="49"/>
    </row>
    <row r="12" spans="2:13" s="62" customFormat="1" ht="60" customHeight="1" x14ac:dyDescent="0.25">
      <c r="B12" s="92" t="str">
        <f>CONCATENATE("4.",Prüfkriterien_142[[#This Row],[Hilfsspalte_Num]])</f>
        <v>4.3</v>
      </c>
      <c r="C12" s="45">
        <f>ROW()-ROW(Prüfkriterien_142[[#Headers],[Hilfsspalte_Kom]])</f>
        <v>3</v>
      </c>
      <c r="D12" s="46">
        <f>(Prüfkriterien_142[Hilfsspalte_Num]+10)/10</f>
        <v>1.3</v>
      </c>
      <c r="E12" s="48" t="s">
        <v>213</v>
      </c>
      <c r="F12" s="32" t="s">
        <v>179</v>
      </c>
      <c r="G12" s="32" t="s">
        <v>167</v>
      </c>
      <c r="H12" s="33"/>
      <c r="I12" s="38"/>
      <c r="J12" s="38"/>
      <c r="K12" s="38"/>
      <c r="L12" s="38"/>
      <c r="M12" s="49"/>
    </row>
    <row r="13" spans="2:13" s="62" customFormat="1" ht="55.2" customHeight="1" x14ac:dyDescent="0.25">
      <c r="B13" s="92" t="str">
        <f>CONCATENATE("4.",Prüfkriterien_142[[#This Row],[Hilfsspalte_Num]])</f>
        <v>4.4</v>
      </c>
      <c r="C13" s="45">
        <f>ROW()-ROW(Prüfkriterien_142[[#Headers],[Hilfsspalte_Kom]])</f>
        <v>4</v>
      </c>
      <c r="D13" s="46">
        <f>(Prüfkriterien_142[Hilfsspalte_Num]+10)/10</f>
        <v>1.4</v>
      </c>
      <c r="E13" s="48" t="s">
        <v>213</v>
      </c>
      <c r="F13" s="32" t="s">
        <v>180</v>
      </c>
      <c r="G13" s="32"/>
      <c r="H13" s="33"/>
      <c r="I13" s="38"/>
      <c r="J13" s="38"/>
      <c r="K13" s="38"/>
      <c r="L13" s="38"/>
      <c r="M13" s="49"/>
    </row>
    <row r="14" spans="2:13" s="62" customFormat="1" ht="60" customHeight="1" x14ac:dyDescent="0.25">
      <c r="B14" s="50" t="str">
        <f>CONCATENATE("4.",Prüfkriterien_142[[#This Row],[Hilfsspalte_Num]])</f>
        <v>4.5</v>
      </c>
      <c r="C14" s="51">
        <f>ROW()-ROW(Prüfkriterien_142[[#Headers],[Hilfsspalte_Kom]])</f>
        <v>5</v>
      </c>
      <c r="D14" s="52">
        <f>(Prüfkriterien_142[Hilfsspalte_Num]+10)/10</f>
        <v>1.5</v>
      </c>
      <c r="E14" s="48" t="s">
        <v>213</v>
      </c>
      <c r="F14" s="105" t="s">
        <v>181</v>
      </c>
      <c r="G14" s="32"/>
      <c r="H14" s="38"/>
      <c r="I14" s="38"/>
      <c r="J14" s="38"/>
      <c r="K14" s="38"/>
      <c r="L14" s="38"/>
      <c r="M14" s="49"/>
    </row>
    <row r="15" spans="2:13" s="62" customFormat="1" ht="60" customHeight="1" x14ac:dyDescent="0.25">
      <c r="B15" s="92" t="str">
        <f>CONCATENATE("4.",Prüfkriterien_142[[#This Row],[Hilfsspalte_Num]])</f>
        <v>4.6</v>
      </c>
      <c r="C15" s="45">
        <f>ROW()-ROW(Prüfkriterien_142[[#Headers],[Hilfsspalte_Kom]])</f>
        <v>6</v>
      </c>
      <c r="D15" s="46">
        <f>(Prüfkriterien_142[Hilfsspalte_Num]+10)/10</f>
        <v>1.6</v>
      </c>
      <c r="E15" s="48" t="s">
        <v>237</v>
      </c>
      <c r="F15" s="48" t="s">
        <v>183</v>
      </c>
      <c r="G15" s="32"/>
      <c r="H15" s="33"/>
      <c r="I15" s="38"/>
      <c r="J15" s="38"/>
      <c r="K15" s="38"/>
      <c r="L15" s="38"/>
      <c r="M15" s="49"/>
    </row>
    <row r="16" spans="2:13" s="62" customFormat="1" ht="55.2" customHeight="1" x14ac:dyDescent="0.25">
      <c r="B16" s="66" t="str">
        <f>CONCATENATE("4.",Prüfkriterien_142[[#This Row],[Hilfsspalte_Num]])</f>
        <v>4.7</v>
      </c>
      <c r="C16" s="67">
        <f>ROW()-ROW(Prüfkriterien_142[[#Headers],[Hilfsspalte_Kom]])</f>
        <v>7</v>
      </c>
      <c r="D16" s="68">
        <f>(Prüfkriterien_142[Hilfsspalte_Num]+10)/10</f>
        <v>1.7</v>
      </c>
      <c r="E16" s="48" t="s">
        <v>237</v>
      </c>
      <c r="F16" s="106" t="s">
        <v>182</v>
      </c>
      <c r="G16" s="32"/>
      <c r="H16" s="70"/>
      <c r="I16" s="71"/>
      <c r="J16" s="71"/>
      <c r="K16" s="71"/>
      <c r="L16" s="71"/>
      <c r="M16" s="69"/>
    </row>
    <row r="17" spans="2:13" s="62" customFormat="1" ht="112.2" customHeight="1" x14ac:dyDescent="0.25">
      <c r="B17" s="50" t="str">
        <f>CONCATENATE("4.",Prüfkriterien_142[[#This Row],[Hilfsspalte_Num]])</f>
        <v>4.8</v>
      </c>
      <c r="C17" s="51">
        <f>ROW()-ROW(Prüfkriterien_142[[#Headers],[Hilfsspalte_Kom]])</f>
        <v>8</v>
      </c>
      <c r="D17" s="52">
        <f>(Prüfkriterien_142[Hilfsspalte_Num]+10)/10</f>
        <v>1.8</v>
      </c>
      <c r="E17" s="48" t="s">
        <v>237</v>
      </c>
      <c r="F17" s="32" t="s">
        <v>184</v>
      </c>
      <c r="G17" s="32" t="s">
        <v>281</v>
      </c>
      <c r="H17" s="38"/>
      <c r="I17" s="38"/>
      <c r="J17" s="38"/>
      <c r="K17" s="38"/>
      <c r="L17" s="38"/>
      <c r="M17" s="118"/>
    </row>
    <row r="18" spans="2:13" x14ac:dyDescent="0.25">
      <c r="B18" s="179" t="s">
        <v>318</v>
      </c>
      <c r="C18" s="179"/>
      <c r="D18" s="179"/>
      <c r="E18" s="179"/>
      <c r="F18" s="179"/>
      <c r="G18" s="179"/>
      <c r="H18" s="179"/>
      <c r="I18" s="179"/>
      <c r="J18" s="179"/>
      <c r="K18" s="179"/>
      <c r="L18" s="179"/>
      <c r="M18" s="179"/>
    </row>
    <row r="19" spans="2:13" s="53" customFormat="1" hidden="1" x14ac:dyDescent="0.25">
      <c r="B19" s="44" t="s">
        <v>39</v>
      </c>
      <c r="C19" s="45" t="s">
        <v>40</v>
      </c>
      <c r="D19" s="45" t="s">
        <v>41</v>
      </c>
      <c r="E19" s="31" t="s">
        <v>42</v>
      </c>
      <c r="F19" s="32" t="s">
        <v>43</v>
      </c>
      <c r="G19" s="32" t="s">
        <v>46</v>
      </c>
      <c r="H19" s="33" t="s">
        <v>47</v>
      </c>
      <c r="I19" s="33" t="s">
        <v>48</v>
      </c>
      <c r="J19" s="33" t="s">
        <v>49</v>
      </c>
      <c r="K19" s="33" t="s">
        <v>50</v>
      </c>
      <c r="L19" s="33" t="s">
        <v>51</v>
      </c>
      <c r="M19" s="34" t="s">
        <v>52</v>
      </c>
    </row>
    <row r="20" spans="2:13" s="53" customFormat="1" ht="55.95" customHeight="1" x14ac:dyDescent="0.25">
      <c r="B20" s="44" t="str">
        <f>CONCATENATE("5.",Prüfkriterien_243[[#This Row],[Spalte2]])</f>
        <v>5.1</v>
      </c>
      <c r="C20" s="45">
        <f>ROW()-ROW(Prüfkriterien_243[[#Headers],[Spalte3]])</f>
        <v>1</v>
      </c>
      <c r="D20" s="46">
        <f>(Prüfkriterien_243[[#This Row],[Spalte2]]+20)/10</f>
        <v>2.1</v>
      </c>
      <c r="E20" s="48" t="s">
        <v>213</v>
      </c>
      <c r="F20" s="43" t="s">
        <v>185</v>
      </c>
      <c r="G20" s="32" t="s">
        <v>168</v>
      </c>
      <c r="H20" s="70"/>
      <c r="I20" s="70"/>
      <c r="J20" s="70"/>
      <c r="K20" s="70"/>
      <c r="L20" s="70"/>
      <c r="M20" s="49"/>
    </row>
    <row r="21" spans="2:13" s="53" customFormat="1" ht="138" customHeight="1" x14ac:dyDescent="0.25">
      <c r="B21" s="44" t="str">
        <f>CONCATENATE("5.",Prüfkriterien_243[[#This Row],[Spalte2]])</f>
        <v>5.2</v>
      </c>
      <c r="C21" s="45">
        <f>ROW()-ROW(Prüfkriterien_243[[#Headers],[Spalte3]])</f>
        <v>2</v>
      </c>
      <c r="D21" s="46">
        <f>(Prüfkriterien_243[[#This Row],[Spalte2]]+20)/10</f>
        <v>2.2000000000000002</v>
      </c>
      <c r="E21" s="48" t="s">
        <v>213</v>
      </c>
      <c r="F21" s="43" t="s">
        <v>186</v>
      </c>
      <c r="G21" s="107" t="s">
        <v>169</v>
      </c>
      <c r="H21" s="33"/>
      <c r="I21" s="33"/>
      <c r="J21" s="33"/>
      <c r="K21" s="33"/>
      <c r="L21" s="33"/>
      <c r="M21" s="49"/>
    </row>
    <row r="22" spans="2:13" s="53" customFormat="1" ht="60" customHeight="1" x14ac:dyDescent="0.25">
      <c r="B22" s="44" t="str">
        <f>CONCATENATE("5.",Prüfkriterien_243[[#This Row],[Spalte2]])</f>
        <v>5.3</v>
      </c>
      <c r="C22" s="45">
        <f>ROW()-ROW(Prüfkriterien_243[[#Headers],[Spalte3]])</f>
        <v>3</v>
      </c>
      <c r="D22" s="46">
        <f>(Prüfkriterien_243[[#This Row],[Spalte2]]+20)/10</f>
        <v>2.2999999999999998</v>
      </c>
      <c r="E22" s="48" t="s">
        <v>213</v>
      </c>
      <c r="F22" s="43" t="s">
        <v>187</v>
      </c>
      <c r="G22" s="32"/>
      <c r="H22" s="33"/>
      <c r="I22" s="33"/>
      <c r="J22" s="33"/>
      <c r="K22" s="33"/>
      <c r="L22" s="33"/>
      <c r="M22" s="49"/>
    </row>
    <row r="23" spans="2:13" s="53" customFormat="1" ht="55.2" customHeight="1" x14ac:dyDescent="0.25">
      <c r="B23" s="44" t="str">
        <f>CONCATENATE("5.",Prüfkriterien_243[[#This Row],[Spalte2]])</f>
        <v>5.4</v>
      </c>
      <c r="C23" s="45">
        <f>ROW()-ROW(Prüfkriterien_243[[#Headers],[Spalte3]])</f>
        <v>4</v>
      </c>
      <c r="D23" s="46">
        <f>(Prüfkriterien_243[[#This Row],[Spalte2]]+20)/10</f>
        <v>2.4</v>
      </c>
      <c r="E23" s="48" t="s">
        <v>213</v>
      </c>
      <c r="F23" s="32" t="s">
        <v>269</v>
      </c>
      <c r="G23" s="32"/>
      <c r="H23" s="33"/>
      <c r="I23" s="33"/>
      <c r="J23" s="33"/>
      <c r="K23" s="33"/>
      <c r="L23" s="33"/>
      <c r="M23" s="49"/>
    </row>
    <row r="24" spans="2:13" s="53" customFormat="1" ht="55.2" customHeight="1" x14ac:dyDescent="0.25">
      <c r="B24" s="44" t="str">
        <f>CONCATENATE("5.",Prüfkriterien_243[[#This Row],[Spalte2]])</f>
        <v>5.5</v>
      </c>
      <c r="C24" s="45">
        <f>ROW()-ROW(Prüfkriterien_243[[#Headers],[Spalte3]])</f>
        <v>5</v>
      </c>
      <c r="D24" s="46">
        <f>(Prüfkriterien_243[[#This Row],[Spalte2]]+20)/10</f>
        <v>2.5</v>
      </c>
      <c r="E24" s="48" t="s">
        <v>213</v>
      </c>
      <c r="F24" s="43" t="s">
        <v>188</v>
      </c>
      <c r="G24" s="32"/>
      <c r="H24" s="33"/>
      <c r="I24" s="33"/>
      <c r="J24" s="33"/>
      <c r="K24" s="33"/>
      <c r="L24" s="33"/>
      <c r="M24" s="49"/>
    </row>
    <row r="25" spans="2:13" s="53" customFormat="1" ht="55.2" customHeight="1" x14ac:dyDescent="0.25">
      <c r="B25" s="44" t="str">
        <f>CONCATENATE("5.",Prüfkriterien_243[[#This Row],[Spalte2]])</f>
        <v>5.6</v>
      </c>
      <c r="C25" s="45">
        <f>ROW()-ROW(Prüfkriterien_243[[#Headers],[Spalte3]])</f>
        <v>6</v>
      </c>
      <c r="D25" s="46">
        <f>(Prüfkriterien_243[[#This Row],[Spalte2]]+20)/10</f>
        <v>2.6</v>
      </c>
      <c r="E25" s="48" t="s">
        <v>213</v>
      </c>
      <c r="F25" s="32" t="s">
        <v>189</v>
      </c>
      <c r="G25" s="32"/>
      <c r="H25" s="33"/>
      <c r="I25" s="33"/>
      <c r="J25" s="33"/>
      <c r="K25" s="33"/>
      <c r="L25" s="33"/>
      <c r="M25" s="49"/>
    </row>
    <row r="26" spans="2:13" s="53" customFormat="1" ht="55.2" customHeight="1" x14ac:dyDescent="0.25">
      <c r="B26" s="44" t="str">
        <f>CONCATENATE("5.",Prüfkriterien_243[[#This Row],[Spalte2]])</f>
        <v>5.7</v>
      </c>
      <c r="C26" s="45">
        <f>ROW()-ROW(Prüfkriterien_243[[#Headers],[Spalte3]])</f>
        <v>7</v>
      </c>
      <c r="D26" s="46">
        <f>(Prüfkriterien_243[[#This Row],[Spalte2]]+20)/10</f>
        <v>2.7</v>
      </c>
      <c r="E26" s="48" t="s">
        <v>213</v>
      </c>
      <c r="F26" s="32" t="s">
        <v>190</v>
      </c>
      <c r="G26" s="32" t="s">
        <v>270</v>
      </c>
      <c r="H26" s="33"/>
      <c r="I26" s="33"/>
      <c r="J26" s="33"/>
      <c r="K26" s="33"/>
      <c r="L26" s="33"/>
      <c r="M26" s="49"/>
    </row>
    <row r="27" spans="2:13" s="53" customFormat="1" ht="70.2" customHeight="1" x14ac:dyDescent="0.25">
      <c r="B27" s="56" t="str">
        <f>CONCATENATE("5.",Prüfkriterien_243[[#This Row],[Spalte2]])</f>
        <v>5.8</v>
      </c>
      <c r="C27" s="45">
        <f>ROW()-ROW(Prüfkriterien_243[[#Headers],[Spalte3]])</f>
        <v>8</v>
      </c>
      <c r="D27" s="46">
        <f>(Prüfkriterien_243[[#This Row],[Spalte2]]+20)/10</f>
        <v>2.8</v>
      </c>
      <c r="E27" s="48" t="s">
        <v>213</v>
      </c>
      <c r="F27" s="32" t="s">
        <v>191</v>
      </c>
      <c r="G27" s="32" t="s">
        <v>170</v>
      </c>
      <c r="H27" s="70"/>
      <c r="I27" s="70"/>
      <c r="J27" s="70"/>
      <c r="K27" s="70"/>
      <c r="L27" s="70"/>
      <c r="M27" s="87"/>
    </row>
    <row r="28" spans="2:13" s="53" customFormat="1" ht="72.75" customHeight="1" x14ac:dyDescent="0.25">
      <c r="B28" s="56" t="str">
        <f>CONCATENATE("5.",Prüfkriterien_243[[#This Row],[Spalte2]])</f>
        <v>5.9</v>
      </c>
      <c r="C28" s="45">
        <f>ROW()-ROW(Prüfkriterien_243[[#Headers],[Spalte3]])</f>
        <v>9</v>
      </c>
      <c r="D28" s="46">
        <f>(Prüfkriterien_243[[#This Row],[Spalte2]]+20)/10</f>
        <v>2.9</v>
      </c>
      <c r="E28" s="48" t="s">
        <v>213</v>
      </c>
      <c r="F28" s="32" t="s">
        <v>193</v>
      </c>
      <c r="G28" s="32"/>
      <c r="H28" s="70"/>
      <c r="I28" s="70"/>
      <c r="J28" s="70"/>
      <c r="K28" s="70"/>
      <c r="L28" s="70"/>
      <c r="M28" s="87"/>
    </row>
    <row r="29" spans="2:13" s="53" customFormat="1" ht="64.5" customHeight="1" x14ac:dyDescent="0.25">
      <c r="B29" s="56" t="str">
        <f>CONCATENATE("5.",Prüfkriterien_243[[#This Row],[Spalte2]])</f>
        <v>5.10</v>
      </c>
      <c r="C29" s="45">
        <f>ROW()-ROW(Prüfkriterien_243[[#Headers],[Spalte3]])</f>
        <v>10</v>
      </c>
      <c r="D29" s="46">
        <f>(Prüfkriterien_243[[#This Row],[Spalte2]]+20)/10</f>
        <v>3</v>
      </c>
      <c r="E29" s="48" t="s">
        <v>213</v>
      </c>
      <c r="F29" s="32" t="s">
        <v>192</v>
      </c>
      <c r="G29" s="32"/>
      <c r="H29" s="70"/>
      <c r="I29" s="70"/>
      <c r="J29" s="70"/>
      <c r="K29" s="70"/>
      <c r="L29" s="70"/>
      <c r="M29" s="87"/>
    </row>
    <row r="30" spans="2:13" s="53" customFormat="1" ht="60" customHeight="1" x14ac:dyDescent="0.25">
      <c r="B30" s="121" t="str">
        <f>CONCATENATE("5.",Prüfkriterien_243[[#This Row],[Spalte2]])</f>
        <v>5.11</v>
      </c>
      <c r="C30" s="127">
        <f>ROW()-ROW(Prüfkriterien_243[[#Headers],[Spalte3]])</f>
        <v>11</v>
      </c>
      <c r="D30" s="128">
        <f>(Prüfkriterien_243[[#This Row],[Spalte2]]+20)/10</f>
        <v>3.1</v>
      </c>
      <c r="E30" s="123" t="s">
        <v>213</v>
      </c>
      <c r="F30" s="124" t="s">
        <v>194</v>
      </c>
      <c r="G30" s="124"/>
      <c r="H30" s="125"/>
      <c r="I30" s="125"/>
      <c r="J30" s="125"/>
      <c r="K30" s="125"/>
      <c r="L30" s="125"/>
      <c r="M30" s="126"/>
    </row>
    <row r="31" spans="2:13" x14ac:dyDescent="0.25">
      <c r="B31" s="173" t="s">
        <v>319</v>
      </c>
      <c r="C31" s="174"/>
      <c r="D31" s="174"/>
      <c r="E31" s="174"/>
      <c r="F31" s="174"/>
      <c r="G31" s="174"/>
      <c r="H31" s="174"/>
      <c r="I31" s="174"/>
      <c r="J31" s="174"/>
      <c r="K31" s="174"/>
      <c r="L31" s="174"/>
      <c r="M31" s="175"/>
    </row>
    <row r="32" spans="2:13" s="53" customFormat="1" hidden="1" x14ac:dyDescent="0.25">
      <c r="B32" s="44" t="s">
        <v>39</v>
      </c>
      <c r="C32" s="45" t="s">
        <v>40</v>
      </c>
      <c r="D32" s="45" t="s">
        <v>41</v>
      </c>
      <c r="E32" s="31" t="s">
        <v>42</v>
      </c>
      <c r="F32" s="32" t="s">
        <v>43</v>
      </c>
      <c r="G32" s="32" t="s">
        <v>46</v>
      </c>
      <c r="H32" s="33" t="s">
        <v>47</v>
      </c>
      <c r="I32" s="33" t="s">
        <v>48</v>
      </c>
      <c r="J32" s="33" t="s">
        <v>49</v>
      </c>
      <c r="K32" s="33" t="s">
        <v>50</v>
      </c>
      <c r="L32" s="33" t="s">
        <v>51</v>
      </c>
      <c r="M32" s="34" t="s">
        <v>52</v>
      </c>
    </row>
    <row r="33" spans="2:13" s="53" customFormat="1" ht="55.2" customHeight="1" x14ac:dyDescent="0.25">
      <c r="B33" s="44" t="str">
        <f>CONCATENATE("6.",Prüfkriterien_344[[#This Row],[Spalte2]])</f>
        <v>6.1</v>
      </c>
      <c r="C33" s="45">
        <f>ROW()-ROW(Prüfkriterien_344[[#Headers],[Spalte3]])</f>
        <v>1</v>
      </c>
      <c r="D33" s="45">
        <f>(Prüfkriterien_344[[#This Row],[Spalte2]]+30)/10</f>
        <v>3.1</v>
      </c>
      <c r="E33" s="48" t="s">
        <v>213</v>
      </c>
      <c r="F33" s="32" t="s">
        <v>185</v>
      </c>
      <c r="G33" s="32"/>
      <c r="H33" s="33"/>
      <c r="I33" s="33"/>
      <c r="J33" s="33"/>
      <c r="K33" s="33"/>
      <c r="L33" s="33"/>
      <c r="M33" s="49"/>
    </row>
    <row r="34" spans="2:13" s="53" customFormat="1" ht="55.2" customHeight="1" x14ac:dyDescent="0.25">
      <c r="B34" s="44" t="str">
        <f>CONCATENATE("6.",Prüfkriterien_344[[#This Row],[Spalte2]])</f>
        <v>6.2</v>
      </c>
      <c r="C34" s="45">
        <f>ROW()-ROW(Prüfkriterien_344[[#Headers],[Spalte3]])</f>
        <v>2</v>
      </c>
      <c r="D34" s="45">
        <f>(Prüfkriterien_344[[#This Row],[Spalte2]]+30)/10</f>
        <v>3.2</v>
      </c>
      <c r="E34" s="48" t="s">
        <v>213</v>
      </c>
      <c r="F34" s="32" t="s">
        <v>186</v>
      </c>
      <c r="G34" s="105"/>
      <c r="H34" s="33"/>
      <c r="I34" s="33"/>
      <c r="J34" s="33"/>
      <c r="K34" s="33"/>
      <c r="L34" s="33"/>
      <c r="M34" s="49"/>
    </row>
    <row r="35" spans="2:13" s="53" customFormat="1" ht="60" customHeight="1" x14ac:dyDescent="0.25">
      <c r="B35" s="44" t="str">
        <f>CONCATENATE("6.",Prüfkriterien_344[[#This Row],[Spalte2]])</f>
        <v>6.3</v>
      </c>
      <c r="C35" s="45">
        <f>ROW()-ROW(Prüfkriterien_344[[#Headers],[Spalte3]])</f>
        <v>3</v>
      </c>
      <c r="D35" s="45">
        <f>(Prüfkriterien_344[[#This Row],[Spalte2]]+30)/10</f>
        <v>3.3</v>
      </c>
      <c r="E35" s="48" t="s">
        <v>213</v>
      </c>
      <c r="F35" s="32" t="s">
        <v>187</v>
      </c>
      <c r="G35" s="32"/>
      <c r="H35" s="33"/>
      <c r="I35" s="33"/>
      <c r="J35" s="33"/>
      <c r="K35" s="33"/>
      <c r="L35" s="33"/>
      <c r="M35" s="49"/>
    </row>
    <row r="36" spans="2:13" s="53" customFormat="1" ht="60" customHeight="1" x14ac:dyDescent="0.25">
      <c r="B36" s="44" t="str">
        <f>CONCATENATE("6.",Prüfkriterien_344[[#This Row],[Spalte2]])</f>
        <v>6.4</v>
      </c>
      <c r="C36" s="45">
        <f>ROW()-ROW(Prüfkriterien_344[[#Headers],[Spalte3]])</f>
        <v>4</v>
      </c>
      <c r="D36" s="45">
        <f>(Prüfkriterien_344[[#This Row],[Spalte2]]+30)/10</f>
        <v>3.4</v>
      </c>
      <c r="E36" s="48" t="s">
        <v>213</v>
      </c>
      <c r="F36" s="32" t="s">
        <v>269</v>
      </c>
      <c r="G36" s="32"/>
      <c r="H36" s="33"/>
      <c r="I36" s="33"/>
      <c r="J36" s="33"/>
      <c r="K36" s="33"/>
      <c r="L36" s="33"/>
      <c r="M36" s="49"/>
    </row>
    <row r="37" spans="2:13" s="53" customFormat="1" ht="60" customHeight="1" x14ac:dyDescent="0.25">
      <c r="B37" s="44" t="str">
        <f>CONCATENATE("6.",Prüfkriterien_344[[#This Row],[Spalte2]])</f>
        <v>6.5</v>
      </c>
      <c r="C37" s="45">
        <f>ROW()-ROW(Prüfkriterien_344[[#Headers],[Spalte3]])</f>
        <v>5</v>
      </c>
      <c r="D37" s="45">
        <f>(Prüfkriterien_344[[#This Row],[Spalte2]]+30)/10</f>
        <v>3.5</v>
      </c>
      <c r="E37" s="48" t="s">
        <v>213</v>
      </c>
      <c r="F37" s="32" t="s">
        <v>188</v>
      </c>
      <c r="G37" s="32"/>
      <c r="H37" s="33"/>
      <c r="I37" s="33"/>
      <c r="J37" s="33"/>
      <c r="K37" s="33"/>
      <c r="L37" s="33"/>
      <c r="M37" s="49"/>
    </row>
    <row r="38" spans="2:13" s="53" customFormat="1" ht="55.2" customHeight="1" x14ac:dyDescent="0.25">
      <c r="B38" s="44" t="str">
        <f>CONCATENATE("6.",Prüfkriterien_344[[#This Row],[Spalte2]])</f>
        <v>6.6</v>
      </c>
      <c r="C38" s="45">
        <f>ROW()-ROW(Prüfkriterien_344[[#Headers],[Spalte3]])</f>
        <v>6</v>
      </c>
      <c r="D38" s="45">
        <f>(Prüfkriterien_344[[#This Row],[Spalte2]]+30)/10</f>
        <v>3.6</v>
      </c>
      <c r="E38" s="48" t="s">
        <v>213</v>
      </c>
      <c r="F38" s="32" t="s">
        <v>189</v>
      </c>
      <c r="G38" s="32"/>
      <c r="H38" s="33"/>
      <c r="I38" s="33"/>
      <c r="J38" s="33"/>
      <c r="K38" s="33"/>
      <c r="L38" s="33"/>
      <c r="M38" s="118"/>
    </row>
    <row r="39" spans="2:13" s="53" customFormat="1" ht="60.75" customHeight="1" x14ac:dyDescent="0.25">
      <c r="B39" s="44" t="str">
        <f>CONCATENATE("6.",Prüfkriterien_344[[#This Row],[Spalte2]])</f>
        <v>6.7</v>
      </c>
      <c r="C39" s="45">
        <f>ROW()-ROW(Prüfkriterien_344[[#Headers],[Spalte3]])</f>
        <v>7</v>
      </c>
      <c r="D39" s="45">
        <f>(Prüfkriterien_344[[#This Row],[Spalte2]]+30)/10</f>
        <v>3.7</v>
      </c>
      <c r="E39" s="48" t="s">
        <v>213</v>
      </c>
      <c r="F39" s="32" t="s">
        <v>190</v>
      </c>
      <c r="G39" s="32" t="s">
        <v>270</v>
      </c>
      <c r="H39" s="70"/>
      <c r="I39" s="70"/>
      <c r="J39" s="70"/>
      <c r="K39" s="70"/>
      <c r="L39" s="70"/>
      <c r="M39" s="49"/>
    </row>
    <row r="40" spans="2:13" s="53" customFormat="1" ht="70.2" customHeight="1" x14ac:dyDescent="0.25">
      <c r="B40" s="56" t="str">
        <f>CONCATENATE("6.",Prüfkriterien_344[[#This Row],[Spalte2]])</f>
        <v>6.8</v>
      </c>
      <c r="C40" s="57">
        <f>ROW()-ROW(Prüfkriterien_344[[#Headers],[Spalte3]])</f>
        <v>8</v>
      </c>
      <c r="D40" s="57">
        <f>(Prüfkriterien_344[[#This Row],[Spalte2]]+30)/10</f>
        <v>3.8</v>
      </c>
      <c r="E40" s="48" t="s">
        <v>213</v>
      </c>
      <c r="F40" s="32" t="s">
        <v>191</v>
      </c>
      <c r="G40" s="32" t="s">
        <v>170</v>
      </c>
      <c r="H40" s="70"/>
      <c r="I40" s="70"/>
      <c r="J40" s="70"/>
      <c r="K40" s="70"/>
      <c r="L40" s="70"/>
      <c r="M40" s="87"/>
    </row>
    <row r="41" spans="2:13" s="53" customFormat="1" ht="75" customHeight="1" x14ac:dyDescent="0.25">
      <c r="B41" s="56" t="str">
        <f>CONCATENATE("6.",Prüfkriterien_344[[#This Row],[Spalte2]])</f>
        <v>6.9</v>
      </c>
      <c r="C41" s="57">
        <f>ROW()-ROW(Prüfkriterien_344[[#Headers],[Spalte3]])</f>
        <v>9</v>
      </c>
      <c r="D41" s="57">
        <f>(Prüfkriterien_344[[#This Row],[Spalte2]]+30)/10</f>
        <v>3.9</v>
      </c>
      <c r="E41" s="48" t="s">
        <v>213</v>
      </c>
      <c r="F41" s="105" t="s">
        <v>195</v>
      </c>
      <c r="G41" s="32"/>
      <c r="H41" s="70"/>
      <c r="I41" s="70"/>
      <c r="J41" s="70"/>
      <c r="K41" s="70"/>
      <c r="L41" s="70"/>
      <c r="M41" s="87"/>
    </row>
    <row r="42" spans="2:13" s="53" customFormat="1" ht="60" customHeight="1" x14ac:dyDescent="0.25">
      <c r="B42" s="56" t="str">
        <f>CONCATENATE("6.",Prüfkriterien_344[[#This Row],[Spalte2]])</f>
        <v>6.10</v>
      </c>
      <c r="C42" s="57">
        <f>ROW()-ROW(Prüfkriterien_344[[#Headers],[Spalte3]])</f>
        <v>10</v>
      </c>
      <c r="D42" s="57">
        <f>(Prüfkriterien_344[[#This Row],[Spalte2]]+30)/10</f>
        <v>4</v>
      </c>
      <c r="E42" s="48" t="s">
        <v>213</v>
      </c>
      <c r="F42" s="32" t="s">
        <v>192</v>
      </c>
      <c r="G42" s="32"/>
      <c r="H42" s="70"/>
      <c r="I42" s="70"/>
      <c r="J42" s="70"/>
      <c r="K42" s="70"/>
      <c r="L42" s="70"/>
      <c r="M42" s="87"/>
    </row>
    <row r="43" spans="2:13" s="53" customFormat="1" ht="62.25" customHeight="1" x14ac:dyDescent="0.25">
      <c r="B43" s="121" t="str">
        <f>CONCATENATE("6.",Prüfkriterien_344[[#This Row],[Spalte2]])</f>
        <v>6.11</v>
      </c>
      <c r="C43" s="122">
        <f>ROW()-ROW(Prüfkriterien_344[[#Headers],[Spalte3]])</f>
        <v>11</v>
      </c>
      <c r="D43" s="122">
        <f>(Prüfkriterien_344[[#This Row],[Spalte2]]+30)/10</f>
        <v>4.0999999999999996</v>
      </c>
      <c r="E43" s="123" t="s">
        <v>213</v>
      </c>
      <c r="F43" s="124" t="s">
        <v>194</v>
      </c>
      <c r="G43" s="124"/>
      <c r="H43" s="125"/>
      <c r="I43" s="125"/>
      <c r="J43" s="125"/>
      <c r="K43" s="125"/>
      <c r="L43" s="125"/>
      <c r="M43" s="126"/>
    </row>
    <row r="44" spans="2:13" x14ac:dyDescent="0.25">
      <c r="B44" s="194" t="s">
        <v>320</v>
      </c>
      <c r="C44" s="195"/>
      <c r="D44" s="195"/>
      <c r="E44" s="195"/>
      <c r="F44" s="195"/>
      <c r="G44" s="195"/>
      <c r="H44" s="195"/>
      <c r="I44" s="195"/>
      <c r="J44" s="195"/>
      <c r="K44" s="195"/>
      <c r="L44" s="195"/>
      <c r="M44" s="196"/>
    </row>
    <row r="45" spans="2:13" s="47" customFormat="1" hidden="1" x14ac:dyDescent="0.25">
      <c r="B45" s="44" t="s">
        <v>39</v>
      </c>
      <c r="C45" s="45" t="s">
        <v>40</v>
      </c>
      <c r="D45" s="45" t="s">
        <v>41</v>
      </c>
      <c r="E45" s="31" t="s">
        <v>42</v>
      </c>
      <c r="F45" s="32" t="s">
        <v>43</v>
      </c>
      <c r="G45" s="32" t="s">
        <v>46</v>
      </c>
      <c r="H45" s="33" t="s">
        <v>47</v>
      </c>
      <c r="I45" s="33" t="s">
        <v>48</v>
      </c>
      <c r="J45" s="33" t="s">
        <v>49</v>
      </c>
      <c r="K45" s="33" t="s">
        <v>50</v>
      </c>
      <c r="L45" s="33" t="s">
        <v>51</v>
      </c>
      <c r="M45" s="34" t="s">
        <v>52</v>
      </c>
    </row>
    <row r="46" spans="2:13" s="47" customFormat="1" ht="81" customHeight="1" x14ac:dyDescent="0.25">
      <c r="B46" s="44" t="str">
        <f>CONCATENATE("7.",Prüfkriterien_445[[#This Row],[Spalte2]])</f>
        <v>7.1</v>
      </c>
      <c r="C46" s="45">
        <f>ROW()-ROW(Prüfkriterien_445[[#Headers],[Spalte3]])</f>
        <v>1</v>
      </c>
      <c r="D46" s="45">
        <f>(Prüfkriterien_445[Spalte2]+40)/10</f>
        <v>4.0999999999999996</v>
      </c>
      <c r="E46" s="98" t="s">
        <v>214</v>
      </c>
      <c r="F46" s="43" t="s">
        <v>196</v>
      </c>
      <c r="G46" s="43" t="s">
        <v>251</v>
      </c>
      <c r="H46" s="33"/>
      <c r="I46" s="33"/>
      <c r="J46" s="33"/>
      <c r="K46" s="33"/>
      <c r="L46" s="33"/>
      <c r="M46" s="49"/>
    </row>
    <row r="47" spans="2:13" s="47" customFormat="1" ht="70.95" customHeight="1" x14ac:dyDescent="0.25">
      <c r="B47" s="44" t="str">
        <f>CONCATENATE("7.",Prüfkriterien_445[[#This Row],[Spalte2]])</f>
        <v>7.2</v>
      </c>
      <c r="C47" s="45">
        <f>ROW()-ROW(Prüfkriterien_445[[#Headers],[Spalte3]])</f>
        <v>2</v>
      </c>
      <c r="D47" s="45">
        <f>(Prüfkriterien_445[Spalte2]+40)/10</f>
        <v>4.2</v>
      </c>
      <c r="E47" s="98" t="s">
        <v>214</v>
      </c>
      <c r="F47" s="43" t="s">
        <v>252</v>
      </c>
      <c r="G47" s="43" t="s">
        <v>282</v>
      </c>
      <c r="H47" s="33"/>
      <c r="I47" s="33"/>
      <c r="J47" s="33"/>
      <c r="K47" s="33"/>
      <c r="L47" s="33"/>
      <c r="M47" s="118"/>
    </row>
    <row r="48" spans="2:13" s="47" customFormat="1" ht="61.2" customHeight="1" x14ac:dyDescent="0.25">
      <c r="B48" s="44" t="str">
        <f>CONCATENATE("7.",Prüfkriterien_445[[#This Row],[Spalte2]])</f>
        <v>7.3</v>
      </c>
      <c r="C48" s="45">
        <f>ROW()-ROW(Prüfkriterien_445[[#Headers],[Spalte3]])</f>
        <v>3</v>
      </c>
      <c r="D48" s="45">
        <f>(Prüfkriterien_445[Spalte2]+40)/10</f>
        <v>4.3</v>
      </c>
      <c r="E48" s="98" t="s">
        <v>215</v>
      </c>
      <c r="F48" s="43" t="s">
        <v>197</v>
      </c>
      <c r="G48" s="43"/>
      <c r="H48" s="33"/>
      <c r="I48" s="33"/>
      <c r="J48" s="33"/>
      <c r="K48" s="33"/>
      <c r="L48" s="33"/>
      <c r="M48" s="49"/>
    </row>
    <row r="49" spans="2:13" s="47" customFormat="1" ht="97.95" customHeight="1" x14ac:dyDescent="0.25">
      <c r="B49" s="44" t="str">
        <f>CONCATENATE("7.",Prüfkriterien_445[[#This Row],[Spalte2]])</f>
        <v>7.4</v>
      </c>
      <c r="C49" s="45">
        <f>ROW()-ROW(Prüfkriterien_445[[#Headers],[Spalte3]])</f>
        <v>4</v>
      </c>
      <c r="D49" s="45">
        <f>(Prüfkriterien_445[Spalte2]+40)/10</f>
        <v>4.4000000000000004</v>
      </c>
      <c r="E49" s="98" t="s">
        <v>215</v>
      </c>
      <c r="F49" s="43" t="s">
        <v>198</v>
      </c>
      <c r="G49" s="43"/>
      <c r="H49" s="33"/>
      <c r="I49" s="33"/>
      <c r="J49" s="33"/>
      <c r="K49" s="33"/>
      <c r="L49" s="33"/>
      <c r="M49" s="49"/>
    </row>
    <row r="50" spans="2:13" s="47" customFormat="1" ht="75" customHeight="1" x14ac:dyDescent="0.25">
      <c r="B50" s="44" t="str">
        <f>CONCATENATE("7.",Prüfkriterien_445[[#This Row],[Spalte2]])</f>
        <v>7.5</v>
      </c>
      <c r="C50" s="45">
        <f>ROW()-ROW(Prüfkriterien_445[[#Headers],[Spalte3]])</f>
        <v>5</v>
      </c>
      <c r="D50" s="45">
        <f>(Prüfkriterien_445[Spalte2]+40)/10</f>
        <v>4.5</v>
      </c>
      <c r="E50" s="98" t="s">
        <v>216</v>
      </c>
      <c r="F50" s="43" t="s">
        <v>153</v>
      </c>
      <c r="G50" s="43" t="s">
        <v>277</v>
      </c>
      <c r="H50" s="33"/>
      <c r="I50" s="33"/>
      <c r="J50" s="33"/>
      <c r="K50" s="33"/>
      <c r="L50" s="33"/>
      <c r="M50" s="49"/>
    </row>
    <row r="51" spans="2:13" s="47" customFormat="1" ht="64.95" customHeight="1" x14ac:dyDescent="0.25">
      <c r="B51" s="44" t="str">
        <f>CONCATENATE("7.",Prüfkriterien_445[[#This Row],[Spalte2]])</f>
        <v>7.6</v>
      </c>
      <c r="C51" s="45">
        <f>ROW()-ROW(Prüfkriterien_445[[#Headers],[Spalte3]])</f>
        <v>6</v>
      </c>
      <c r="D51" s="45">
        <f>(Prüfkriterien_445[Spalte2]+40)/10</f>
        <v>4.5999999999999996</v>
      </c>
      <c r="E51" s="98" t="s">
        <v>216</v>
      </c>
      <c r="F51" s="43" t="s">
        <v>199</v>
      </c>
      <c r="G51" s="43" t="s">
        <v>171</v>
      </c>
      <c r="H51" s="33"/>
      <c r="I51" s="33"/>
      <c r="J51" s="33"/>
      <c r="K51" s="33"/>
      <c r="L51" s="33"/>
      <c r="M51" s="49"/>
    </row>
    <row r="52" spans="2:13" s="47" customFormat="1" ht="64.95" customHeight="1" x14ac:dyDescent="0.25">
      <c r="B52" s="44" t="str">
        <f>CONCATENATE("7.",Prüfkriterien_445[[#This Row],[Spalte2]])</f>
        <v>7.7</v>
      </c>
      <c r="C52" s="45">
        <f>ROW()-ROW(Prüfkriterien_445[[#Headers],[Spalte3]])</f>
        <v>7</v>
      </c>
      <c r="D52" s="45">
        <f>(Prüfkriterien_445[Spalte2]+40)/10</f>
        <v>4.7</v>
      </c>
      <c r="E52" s="98" t="s">
        <v>216</v>
      </c>
      <c r="F52" s="43" t="s">
        <v>266</v>
      </c>
      <c r="G52" s="32"/>
      <c r="H52" s="33"/>
      <c r="I52" s="33"/>
      <c r="J52" s="33"/>
      <c r="K52" s="33"/>
      <c r="L52" s="33"/>
      <c r="M52" s="49"/>
    </row>
    <row r="53" spans="2:13" s="47" customFormat="1" ht="64.95" customHeight="1" x14ac:dyDescent="0.25">
      <c r="B53" s="44" t="str">
        <f>CONCATENATE("7.",Prüfkriterien_445[[#This Row],[Spalte2]])</f>
        <v>7.8</v>
      </c>
      <c r="C53" s="45">
        <f>ROW()-ROW(Prüfkriterien_445[[#Headers],[Spalte3]])</f>
        <v>8</v>
      </c>
      <c r="D53" s="45">
        <f>(Prüfkriterien_445[Spalte2]+40)/10</f>
        <v>4.8</v>
      </c>
      <c r="E53" s="98" t="s">
        <v>216</v>
      </c>
      <c r="F53" s="43" t="s">
        <v>271</v>
      </c>
      <c r="G53" s="32"/>
      <c r="H53" s="33"/>
      <c r="I53" s="33"/>
      <c r="J53" s="33"/>
      <c r="K53" s="33"/>
      <c r="L53" s="33"/>
      <c r="M53" s="49"/>
    </row>
    <row r="54" spans="2:13" s="47" customFormat="1" ht="64.95" customHeight="1" x14ac:dyDescent="0.25">
      <c r="B54" s="44" t="str">
        <f>CONCATENATE("7.",Prüfkriterien_445[[#This Row],[Spalte2]])</f>
        <v>7.9</v>
      </c>
      <c r="C54" s="45">
        <f>ROW()-ROW(Prüfkriterien_445[[#Headers],[Spalte3]])</f>
        <v>9</v>
      </c>
      <c r="D54" s="45">
        <f>(Prüfkriterien_445[Spalte2]+40)/10</f>
        <v>4.9000000000000004</v>
      </c>
      <c r="E54" s="98" t="s">
        <v>216</v>
      </c>
      <c r="F54" s="43" t="s">
        <v>272</v>
      </c>
      <c r="G54" s="32" t="s">
        <v>273</v>
      </c>
      <c r="H54" s="33"/>
      <c r="I54" s="33"/>
      <c r="J54" s="33"/>
      <c r="K54" s="33"/>
      <c r="L54" s="33"/>
      <c r="M54" s="49"/>
    </row>
    <row r="55" spans="2:13" s="47" customFormat="1" ht="64.95" customHeight="1" x14ac:dyDescent="0.25">
      <c r="B55" s="44" t="str">
        <f>CONCATENATE("7.",Prüfkriterien_445[[#This Row],[Spalte2]])</f>
        <v>7.10</v>
      </c>
      <c r="C55" s="45">
        <f>ROW()-ROW(Prüfkriterien_445[[#Headers],[Spalte3]])</f>
        <v>10</v>
      </c>
      <c r="D55" s="45">
        <f>(Prüfkriterien_445[Spalte2]+40)/10</f>
        <v>5</v>
      </c>
      <c r="E55" s="98" t="s">
        <v>216</v>
      </c>
      <c r="F55" s="32" t="s">
        <v>274</v>
      </c>
      <c r="G55" s="32"/>
      <c r="H55" s="33"/>
      <c r="I55" s="33"/>
      <c r="J55" s="33"/>
      <c r="K55" s="33"/>
      <c r="L55" s="33"/>
      <c r="M55" s="49"/>
    </row>
    <row r="56" spans="2:13" s="47" customFormat="1" ht="70.2" customHeight="1" x14ac:dyDescent="0.25">
      <c r="B56" s="44" t="str">
        <f>CONCATENATE("7.",Prüfkriterien_445[[#This Row],[Spalte2]])</f>
        <v>7.11</v>
      </c>
      <c r="C56" s="45">
        <f>ROW()-ROW(Prüfkriterien_445[[#Headers],[Spalte3]])</f>
        <v>11</v>
      </c>
      <c r="D56" s="45">
        <f>(Prüfkriterien_445[Spalte2]+40)/10</f>
        <v>5.0999999999999996</v>
      </c>
      <c r="E56" s="98" t="s">
        <v>217</v>
      </c>
      <c r="F56" s="43" t="s">
        <v>200</v>
      </c>
      <c r="G56" s="43" t="s">
        <v>283</v>
      </c>
      <c r="H56" s="33"/>
      <c r="I56" s="33"/>
      <c r="J56" s="33"/>
      <c r="K56" s="33"/>
      <c r="L56" s="33"/>
      <c r="M56" s="118"/>
    </row>
    <row r="57" spans="2:13" s="47" customFormat="1" ht="60" customHeight="1" x14ac:dyDescent="0.25">
      <c r="B57" s="44" t="str">
        <f>CONCATENATE("7.",Prüfkriterien_445[[#This Row],[Spalte2]])</f>
        <v>7.12</v>
      </c>
      <c r="C57" s="45">
        <f>ROW()-ROW(Prüfkriterien_445[[#Headers],[Spalte3]])</f>
        <v>12</v>
      </c>
      <c r="D57" s="45">
        <f>(Prüfkriterien_445[Spalte2]+40)/10</f>
        <v>5.2</v>
      </c>
      <c r="E57" s="98" t="s">
        <v>217</v>
      </c>
      <c r="F57" s="43" t="s">
        <v>201</v>
      </c>
      <c r="G57" s="43" t="s">
        <v>202</v>
      </c>
      <c r="H57" s="33"/>
      <c r="I57" s="33"/>
      <c r="J57" s="33"/>
      <c r="K57" s="33"/>
      <c r="L57" s="33"/>
      <c r="M57" s="49"/>
    </row>
    <row r="58" spans="2:13" s="47" customFormat="1" ht="130.19999999999999" customHeight="1" x14ac:dyDescent="0.25">
      <c r="B58" s="44" t="str">
        <f>CONCATENATE("7.",Prüfkriterien_445[[#This Row],[Spalte2]])</f>
        <v>7.13</v>
      </c>
      <c r="C58" s="45">
        <f>ROW()-ROW(Prüfkriterien_445[[#Headers],[Spalte3]])</f>
        <v>13</v>
      </c>
      <c r="D58" s="45">
        <f>(Prüfkriterien_445[Spalte2]+40)/10</f>
        <v>5.3</v>
      </c>
      <c r="E58" s="98" t="s">
        <v>217</v>
      </c>
      <c r="F58" s="43" t="s">
        <v>203</v>
      </c>
      <c r="G58" s="43" t="s">
        <v>173</v>
      </c>
      <c r="H58" s="33"/>
      <c r="I58" s="33"/>
      <c r="J58" s="33"/>
      <c r="K58" s="33"/>
      <c r="L58" s="33"/>
      <c r="M58" s="49"/>
    </row>
    <row r="59" spans="2:13" s="47" customFormat="1" ht="64.95" customHeight="1" x14ac:dyDescent="0.25">
      <c r="B59" s="44" t="str">
        <f>CONCATENATE("7.",Prüfkriterien_445[[#This Row],[Spalte2]])</f>
        <v>7.14</v>
      </c>
      <c r="C59" s="45">
        <f>ROW()-ROW(Prüfkriterien_445[[#Headers],[Spalte3]])</f>
        <v>14</v>
      </c>
      <c r="D59" s="45">
        <f>(Prüfkriterien_445[Spalte2]+40)/10</f>
        <v>5.4</v>
      </c>
      <c r="E59" s="31" t="s">
        <v>217</v>
      </c>
      <c r="F59" s="32" t="s">
        <v>204</v>
      </c>
      <c r="G59" s="32" t="s">
        <v>284</v>
      </c>
      <c r="H59" s="33"/>
      <c r="I59" s="33"/>
      <c r="J59" s="33"/>
      <c r="K59" s="33"/>
      <c r="L59" s="33"/>
      <c r="M59" s="118"/>
    </row>
    <row r="60" spans="2:13" s="47" customFormat="1" ht="109.95" customHeight="1" x14ac:dyDescent="0.25">
      <c r="B60" s="44" t="str">
        <f>CONCATENATE("7.",Prüfkriterien_445[[#This Row],[Spalte2]])</f>
        <v>7.15</v>
      </c>
      <c r="C60" s="45">
        <f>ROW()-ROW(Prüfkriterien_445[[#Headers],[Spalte3]])</f>
        <v>15</v>
      </c>
      <c r="D60" s="45">
        <f>(Prüfkriterien_445[Spalte2]+40)/10</f>
        <v>5.5</v>
      </c>
      <c r="E60" s="31" t="s">
        <v>218</v>
      </c>
      <c r="F60" s="32" t="s">
        <v>285</v>
      </c>
      <c r="G60" s="32"/>
      <c r="H60" s="33"/>
      <c r="I60" s="33"/>
      <c r="J60" s="33"/>
      <c r="K60" s="33"/>
      <c r="L60" s="33"/>
      <c r="M60" s="118"/>
    </row>
    <row r="61" spans="2:13" s="113" customFormat="1" ht="130.19999999999999" customHeight="1" x14ac:dyDescent="0.25">
      <c r="B61" s="108" t="str">
        <f>CONCATENATE("7.",Prüfkriterien_445[[#This Row],[Spalte2]])</f>
        <v>7.16</v>
      </c>
      <c r="C61" s="109">
        <f>ROW()-ROW(Prüfkriterien_445[[#Headers],[Spalte3]])</f>
        <v>16</v>
      </c>
      <c r="D61" s="109">
        <f>(Prüfkriterien_445[Spalte2]+40)/10</f>
        <v>5.6</v>
      </c>
      <c r="E61" s="110" t="s">
        <v>218</v>
      </c>
      <c r="F61" s="105" t="s">
        <v>234</v>
      </c>
      <c r="G61" s="105" t="s">
        <v>275</v>
      </c>
      <c r="H61" s="111"/>
      <c r="I61" s="111"/>
      <c r="J61" s="111"/>
      <c r="K61" s="111"/>
      <c r="L61" s="111"/>
      <c r="M61" s="112"/>
    </row>
    <row r="62" spans="2:13" s="47" customFormat="1" ht="60" customHeight="1" x14ac:dyDescent="0.25">
      <c r="B62" s="44" t="str">
        <f>CONCATENATE("7.",Prüfkriterien_445[[#This Row],[Spalte2]])</f>
        <v>7.17</v>
      </c>
      <c r="C62" s="45">
        <f>ROW()-ROW(Prüfkriterien_445[[#Headers],[Spalte3]])</f>
        <v>17</v>
      </c>
      <c r="D62" s="45">
        <f>(Prüfkriterien_445[Spalte2]+40)/10</f>
        <v>5.7</v>
      </c>
      <c r="E62" s="31" t="s">
        <v>218</v>
      </c>
      <c r="F62" s="32" t="s">
        <v>205</v>
      </c>
      <c r="G62" s="32"/>
      <c r="H62" s="33"/>
      <c r="I62" s="33"/>
      <c r="J62" s="33"/>
      <c r="K62" s="33"/>
      <c r="L62" s="33"/>
      <c r="M62" s="49"/>
    </row>
    <row r="63" spans="2:13" s="47" customFormat="1" ht="60" customHeight="1" x14ac:dyDescent="0.25">
      <c r="B63" s="44" t="str">
        <f>CONCATENATE("7.",Prüfkriterien_445[[#This Row],[Spalte2]])</f>
        <v>7.18</v>
      </c>
      <c r="C63" s="45">
        <f>ROW()-ROW(Prüfkriterien_445[[#Headers],[Spalte3]])</f>
        <v>18</v>
      </c>
      <c r="D63" s="45">
        <f>(Prüfkriterien_445[Spalte2]+40)/10</f>
        <v>5.8</v>
      </c>
      <c r="E63" s="31" t="s">
        <v>218</v>
      </c>
      <c r="F63" s="32" t="s">
        <v>253</v>
      </c>
      <c r="G63" s="32" t="s">
        <v>174</v>
      </c>
      <c r="H63" s="33"/>
      <c r="I63" s="33"/>
      <c r="J63" s="33"/>
      <c r="K63" s="33"/>
      <c r="L63" s="33"/>
      <c r="M63" s="49"/>
    </row>
    <row r="64" spans="2:13" s="47" customFormat="1" ht="60" customHeight="1" x14ac:dyDescent="0.25">
      <c r="B64" s="44" t="str">
        <f>CONCATENATE("7.",Prüfkriterien_445[[#This Row],[Spalte2]])</f>
        <v>7.19</v>
      </c>
      <c r="C64" s="45">
        <f>ROW()-ROW(Prüfkriterien_445[[#Headers],[Spalte3]])</f>
        <v>19</v>
      </c>
      <c r="D64" s="45">
        <f>(Prüfkriterien_445[Spalte2]+40)/10</f>
        <v>5.9</v>
      </c>
      <c r="E64" s="31" t="s">
        <v>218</v>
      </c>
      <c r="F64" s="32" t="s">
        <v>206</v>
      </c>
      <c r="G64" s="32"/>
      <c r="H64" s="33"/>
      <c r="I64" s="33"/>
      <c r="J64" s="33"/>
      <c r="K64" s="33"/>
      <c r="L64" s="33"/>
      <c r="M64" s="49"/>
    </row>
    <row r="65" spans="2:13" s="47" customFormat="1" ht="57.75" customHeight="1" x14ac:dyDescent="0.25">
      <c r="B65" s="44" t="str">
        <f>CONCATENATE("7.",Prüfkriterien_445[[#This Row],[Spalte2]])</f>
        <v>7.20</v>
      </c>
      <c r="C65" s="45">
        <f>ROW()-ROW(Prüfkriterien_445[[#Headers],[Spalte3]])</f>
        <v>20</v>
      </c>
      <c r="D65" s="45">
        <f>(Prüfkriterien_445[Spalte2]+40)/10</f>
        <v>6</v>
      </c>
      <c r="E65" s="31" t="s">
        <v>218</v>
      </c>
      <c r="F65" s="32" t="s">
        <v>254</v>
      </c>
      <c r="G65" s="32" t="s">
        <v>298</v>
      </c>
      <c r="H65" s="33"/>
      <c r="I65" s="33"/>
      <c r="J65" s="33"/>
      <c r="K65" s="33"/>
      <c r="L65" s="33"/>
      <c r="M65" s="118"/>
    </row>
    <row r="66" spans="2:13" s="47" customFormat="1" ht="60" customHeight="1" x14ac:dyDescent="0.25">
      <c r="B66" s="44" t="str">
        <f>CONCATENATE("7.",Prüfkriterien_445[[#This Row],[Spalte2]])</f>
        <v>7.21</v>
      </c>
      <c r="C66" s="45">
        <f>ROW()-ROW(Prüfkriterien_445[[#Headers],[Spalte3]])</f>
        <v>21</v>
      </c>
      <c r="D66" s="45">
        <f>(Prüfkriterien_445[Spalte2]+40)/10</f>
        <v>6.1</v>
      </c>
      <c r="E66" s="31" t="s">
        <v>218</v>
      </c>
      <c r="F66" s="32" t="s">
        <v>207</v>
      </c>
      <c r="G66" s="32"/>
      <c r="H66" s="33"/>
      <c r="I66" s="33"/>
      <c r="J66" s="33"/>
      <c r="K66" s="33"/>
      <c r="L66" s="33"/>
      <c r="M66" s="49"/>
    </row>
    <row r="67" spans="2:13" s="47" customFormat="1" ht="138" customHeight="1" x14ac:dyDescent="0.25">
      <c r="B67" s="44" t="str">
        <f>CONCATENATE("7.",Prüfkriterien_445[[#This Row],[Spalte2]])</f>
        <v>7.22</v>
      </c>
      <c r="C67" s="45">
        <f>ROW()-ROW(Prüfkriterien_445[[#Headers],[Spalte3]])</f>
        <v>22</v>
      </c>
      <c r="D67" s="45">
        <f>(Prüfkriterien_445[Spalte2]+40)/10</f>
        <v>6.2</v>
      </c>
      <c r="E67" s="31" t="s">
        <v>218</v>
      </c>
      <c r="F67" s="32" t="s">
        <v>286</v>
      </c>
      <c r="G67" s="32" t="s">
        <v>175</v>
      </c>
      <c r="H67" s="33"/>
      <c r="I67" s="33"/>
      <c r="J67" s="33"/>
      <c r="K67" s="33"/>
      <c r="L67" s="33"/>
      <c r="M67" s="118"/>
    </row>
    <row r="68" spans="2:13" s="47" customFormat="1" ht="271.5" customHeight="1" x14ac:dyDescent="0.25">
      <c r="B68" s="44" t="str">
        <f>CONCATENATE("7.",Prüfkriterien_445[[#This Row],[Spalte2]])</f>
        <v>7.23</v>
      </c>
      <c r="C68" s="45">
        <f>ROW()-ROW(Prüfkriterien_445[[#Headers],[Spalte3]])</f>
        <v>23</v>
      </c>
      <c r="D68" s="45">
        <f>(Prüfkriterien_445[Spalte2]+40)/10</f>
        <v>6.3</v>
      </c>
      <c r="E68" s="31" t="s">
        <v>218</v>
      </c>
      <c r="F68" s="32" t="s">
        <v>208</v>
      </c>
      <c r="G68" s="32" t="s">
        <v>288</v>
      </c>
      <c r="H68" s="33"/>
      <c r="I68" s="33"/>
      <c r="J68" s="33"/>
      <c r="K68" s="33"/>
      <c r="L68" s="33"/>
      <c r="M68" s="118"/>
    </row>
    <row r="69" spans="2:13" s="47" customFormat="1" ht="121.95" customHeight="1" x14ac:dyDescent="0.25">
      <c r="B69" s="44" t="str">
        <f>CONCATENATE("7.",Prüfkriterien_445[[#This Row],[Spalte2]])</f>
        <v>7.24</v>
      </c>
      <c r="C69" s="45">
        <f>ROW()-ROW(Prüfkriterien_445[[#Headers],[Spalte3]])</f>
        <v>24</v>
      </c>
      <c r="D69" s="45">
        <f>(Prüfkriterien_445[Spalte2]+40)/10</f>
        <v>6.4</v>
      </c>
      <c r="E69" s="31" t="s">
        <v>219</v>
      </c>
      <c r="F69" s="32" t="s">
        <v>225</v>
      </c>
      <c r="G69" s="32" t="s">
        <v>289</v>
      </c>
      <c r="H69" s="33"/>
      <c r="I69" s="33"/>
      <c r="J69" s="33"/>
      <c r="K69" s="33"/>
      <c r="L69" s="33"/>
      <c r="M69" s="118"/>
    </row>
    <row r="70" spans="2:13" s="47" customFormat="1" ht="60" customHeight="1" x14ac:dyDescent="0.25">
      <c r="B70" s="44" t="str">
        <f>CONCATENATE("7.",Prüfkriterien_445[[#This Row],[Spalte2]])</f>
        <v>7.25</v>
      </c>
      <c r="C70" s="45">
        <f>ROW()-ROW(Prüfkriterien_445[[#Headers],[Spalte3]])</f>
        <v>25</v>
      </c>
      <c r="D70" s="45">
        <f>(Prüfkriterien_445[Spalte2]+40)/10</f>
        <v>6.5</v>
      </c>
      <c r="E70" s="31" t="s">
        <v>220</v>
      </c>
      <c r="F70" s="32" t="s">
        <v>249</v>
      </c>
      <c r="G70" s="32" t="s">
        <v>293</v>
      </c>
      <c r="H70" s="33"/>
      <c r="I70" s="33"/>
      <c r="J70" s="33"/>
      <c r="K70" s="33"/>
      <c r="L70" s="33"/>
      <c r="M70" s="118"/>
    </row>
    <row r="71" spans="2:13" s="47" customFormat="1" ht="60" customHeight="1" x14ac:dyDescent="0.25">
      <c r="B71" s="44" t="str">
        <f>CONCATENATE("7.",Prüfkriterien_445[[#This Row],[Spalte2]])</f>
        <v>7.26</v>
      </c>
      <c r="C71" s="45">
        <f>ROW()-ROW(Prüfkriterien_445[[#Headers],[Spalte3]])</f>
        <v>26</v>
      </c>
      <c r="D71" s="45">
        <f>(Prüfkriterien_445[Spalte2]+40)/10</f>
        <v>6.6</v>
      </c>
      <c r="E71" s="31" t="s">
        <v>220</v>
      </c>
      <c r="F71" s="32" t="s">
        <v>250</v>
      </c>
      <c r="G71" s="32" t="s">
        <v>297</v>
      </c>
      <c r="H71" s="33"/>
      <c r="I71" s="33"/>
      <c r="J71" s="33"/>
      <c r="K71" s="33"/>
      <c r="L71" s="33"/>
      <c r="M71" s="118"/>
    </row>
    <row r="72" spans="2:13" s="47" customFormat="1" ht="137.4" customHeight="1" x14ac:dyDescent="0.25">
      <c r="B72" s="44" t="str">
        <f>CONCATENATE("7.",Prüfkriterien_445[[#This Row],[Spalte2]])</f>
        <v>7.27</v>
      </c>
      <c r="C72" s="45">
        <f>ROW()-ROW(Prüfkriterien_445[[#Headers],[Spalte3]])</f>
        <v>27</v>
      </c>
      <c r="D72" s="45">
        <f>(Prüfkriterien_445[Spalte2]+40)/10</f>
        <v>6.7</v>
      </c>
      <c r="E72" s="31" t="s">
        <v>221</v>
      </c>
      <c r="F72" s="32" t="s">
        <v>229</v>
      </c>
      <c r="G72" s="32" t="s">
        <v>296</v>
      </c>
      <c r="H72" s="33"/>
      <c r="I72" s="33"/>
      <c r="J72" s="33"/>
      <c r="K72" s="33"/>
      <c r="L72" s="33"/>
      <c r="M72" s="118"/>
    </row>
    <row r="73" spans="2:13" s="47" customFormat="1" ht="60" customHeight="1" x14ac:dyDescent="0.25">
      <c r="B73" s="44" t="str">
        <f>CONCATENATE("7.",Prüfkriterien_445[[#This Row],[Spalte2]])</f>
        <v>7.28</v>
      </c>
      <c r="C73" s="45">
        <f>ROW()-ROW(Prüfkriterien_445[[#Headers],[Spalte3]])</f>
        <v>28</v>
      </c>
      <c r="D73" s="45">
        <f>(Prüfkriterien_445[Spalte2]+40)/10</f>
        <v>6.8</v>
      </c>
      <c r="E73" s="31" t="s">
        <v>222</v>
      </c>
      <c r="F73" s="32" t="s">
        <v>242</v>
      </c>
      <c r="G73" s="32"/>
      <c r="H73" s="70"/>
      <c r="I73" s="70"/>
      <c r="J73" s="70"/>
      <c r="K73" s="70"/>
      <c r="L73" s="70"/>
      <c r="M73" s="49"/>
    </row>
    <row r="74" spans="2:13" s="47" customFormat="1" ht="60" customHeight="1" x14ac:dyDescent="0.25">
      <c r="B74" s="56" t="str">
        <f>CONCATENATE("7.",Prüfkriterien_445[[#This Row],[Spalte2]])</f>
        <v>7.29</v>
      </c>
      <c r="C74" s="57">
        <f>ROW()-ROW(Prüfkriterien_445[[#Headers],[Spalte3]])</f>
        <v>29</v>
      </c>
      <c r="D74" s="57">
        <f>(Prüfkriterien_445[Spalte2]+40)/10</f>
        <v>6.9</v>
      </c>
      <c r="E74" s="31" t="s">
        <v>222</v>
      </c>
      <c r="F74" s="32" t="s">
        <v>248</v>
      </c>
      <c r="G74" s="32" t="s">
        <v>299</v>
      </c>
      <c r="H74" s="70"/>
      <c r="I74" s="70"/>
      <c r="J74" s="70"/>
      <c r="K74" s="70"/>
      <c r="L74" s="70"/>
      <c r="M74" s="118"/>
    </row>
    <row r="75" spans="2:13" s="47" customFormat="1" ht="70.2" customHeight="1" x14ac:dyDescent="0.25">
      <c r="B75" s="56" t="str">
        <f>CONCATENATE("7.",Prüfkriterien_445[[#This Row],[Spalte2]])</f>
        <v>7.30</v>
      </c>
      <c r="C75" s="57">
        <f>ROW()-ROW(Prüfkriterien_445[[#Headers],[Spalte3]])</f>
        <v>30</v>
      </c>
      <c r="D75" s="57">
        <f>(Prüfkriterien_445[Spalte2]+40)/10</f>
        <v>7</v>
      </c>
      <c r="E75" s="31" t="s">
        <v>222</v>
      </c>
      <c r="F75" s="32" t="s">
        <v>209</v>
      </c>
      <c r="G75" s="32" t="s">
        <v>211</v>
      </c>
      <c r="H75" s="70"/>
      <c r="I75" s="70"/>
      <c r="J75" s="70"/>
      <c r="K75" s="70"/>
      <c r="L75" s="70"/>
      <c r="M75" s="87"/>
    </row>
    <row r="76" spans="2:13" s="47" customFormat="1" ht="201" customHeight="1" x14ac:dyDescent="0.25">
      <c r="B76" s="44" t="str">
        <f>CONCATENATE("7.",Prüfkriterien_445[[#This Row],[Spalte2]])</f>
        <v>7.31</v>
      </c>
      <c r="C76" s="45">
        <f>ROW()-ROW(Prüfkriterien_445[[#Headers],[Spalte3]])</f>
        <v>31</v>
      </c>
      <c r="D76" s="45">
        <f>(Prüfkriterien_445[Spalte2]+40)/10</f>
        <v>7.1</v>
      </c>
      <c r="E76" s="31" t="s">
        <v>223</v>
      </c>
      <c r="F76" s="32" t="s">
        <v>210</v>
      </c>
      <c r="G76" s="32" t="s">
        <v>243</v>
      </c>
      <c r="H76" s="33"/>
      <c r="I76" s="33"/>
      <c r="J76" s="33"/>
      <c r="K76" s="33"/>
      <c r="L76" s="33"/>
      <c r="M76" s="49"/>
    </row>
    <row r="77" spans="2:13" s="47" customFormat="1" ht="79.95" customHeight="1" x14ac:dyDescent="0.25">
      <c r="B77" s="56" t="str">
        <f>CONCATENATE("7.",Prüfkriterien_445[[#This Row],[Spalte2]])</f>
        <v>7.32</v>
      </c>
      <c r="C77" s="57">
        <f>ROW()-ROW(Prüfkriterien_445[[#Headers],[Spalte3]])</f>
        <v>32</v>
      </c>
      <c r="D77" s="57">
        <f>(Prüfkriterien_445[Spalte2]+40)/10</f>
        <v>7.2</v>
      </c>
      <c r="E77" s="31" t="s">
        <v>223</v>
      </c>
      <c r="F77" s="32" t="s">
        <v>148</v>
      </c>
      <c r="G77" s="32" t="s">
        <v>149</v>
      </c>
      <c r="H77" s="70"/>
      <c r="I77" s="70"/>
      <c r="J77" s="70"/>
      <c r="K77" s="70"/>
      <c r="L77" s="70"/>
      <c r="M77" s="87"/>
    </row>
    <row r="78" spans="2:13" s="47" customFormat="1" ht="60" customHeight="1" x14ac:dyDescent="0.25">
      <c r="B78" s="56" t="str">
        <f>CONCATENATE("7.",Prüfkriterien_445[[#This Row],[Spalte2]])</f>
        <v>7.33</v>
      </c>
      <c r="C78" s="57">
        <f>ROW()-ROW(Prüfkriterien_445[[#Headers],[Spalte3]])</f>
        <v>33</v>
      </c>
      <c r="D78" s="57">
        <f>(Prüfkriterien_445[Spalte2]+40)/10</f>
        <v>7.3</v>
      </c>
      <c r="E78" s="31" t="s">
        <v>223</v>
      </c>
      <c r="F78" s="32" t="s">
        <v>150</v>
      </c>
      <c r="G78" s="32" t="s">
        <v>176</v>
      </c>
      <c r="H78" s="70"/>
      <c r="I78" s="70"/>
      <c r="J78" s="70"/>
      <c r="K78" s="70"/>
      <c r="L78" s="70"/>
      <c r="M78" s="87"/>
    </row>
    <row r="79" spans="2:13" x14ac:dyDescent="0.25">
      <c r="B79" s="173" t="s">
        <v>321</v>
      </c>
      <c r="C79" s="174"/>
      <c r="D79" s="174"/>
      <c r="E79" s="174"/>
      <c r="F79" s="174"/>
      <c r="G79" s="174"/>
      <c r="H79" s="174"/>
      <c r="I79" s="174"/>
      <c r="J79" s="174"/>
      <c r="K79" s="174"/>
      <c r="L79" s="174"/>
      <c r="M79" s="175"/>
    </row>
    <row r="80" spans="2:13" s="47" customFormat="1" hidden="1" x14ac:dyDescent="0.25">
      <c r="B80" s="44" t="s">
        <v>39</v>
      </c>
      <c r="C80" s="45" t="s">
        <v>40</v>
      </c>
      <c r="D80" s="45" t="s">
        <v>41</v>
      </c>
      <c r="E80" s="31" t="s">
        <v>42</v>
      </c>
      <c r="F80" s="32" t="s">
        <v>43</v>
      </c>
      <c r="G80" s="32" t="s">
        <v>46</v>
      </c>
      <c r="H80" s="33" t="s">
        <v>47</v>
      </c>
      <c r="I80" s="33" t="s">
        <v>48</v>
      </c>
      <c r="J80" s="33" t="s">
        <v>49</v>
      </c>
      <c r="K80" s="33" t="s">
        <v>50</v>
      </c>
      <c r="L80" s="33" t="s">
        <v>51</v>
      </c>
      <c r="M80" s="34" t="s">
        <v>52</v>
      </c>
    </row>
    <row r="81" spans="2:13" s="47" customFormat="1" ht="79.95" customHeight="1" x14ac:dyDescent="0.25">
      <c r="B81" s="44" t="str">
        <f>CONCATENATE("8.",Prüfkriterien_546[[#This Row],[Spalte2]])</f>
        <v>8.1</v>
      </c>
      <c r="C81" s="45">
        <f>ROW()-ROW(Prüfkriterien_546[[#Headers],[Spalte3]])</f>
        <v>1</v>
      </c>
      <c r="D81" s="45">
        <f>(Prüfkriterien_546[Spalte2]+50)/10</f>
        <v>5.0999999999999996</v>
      </c>
      <c r="E81" s="98" t="s">
        <v>214</v>
      </c>
      <c r="F81" s="43" t="s">
        <v>196</v>
      </c>
      <c r="G81" s="43" t="s">
        <v>251</v>
      </c>
      <c r="H81" s="33"/>
      <c r="I81" s="33"/>
      <c r="J81" s="33"/>
      <c r="K81" s="33"/>
      <c r="L81" s="33"/>
      <c r="M81" s="49"/>
    </row>
    <row r="82" spans="2:13" s="47" customFormat="1" ht="70.2" customHeight="1" x14ac:dyDescent="0.25">
      <c r="B82" s="44" t="str">
        <f>CONCATENATE("8.",Prüfkriterien_546[[#This Row],[Spalte2]])</f>
        <v>8.2</v>
      </c>
      <c r="C82" s="45">
        <f>ROW()-ROW(Prüfkriterien_546[[#Headers],[Spalte3]])</f>
        <v>2</v>
      </c>
      <c r="D82" s="45">
        <f>(Prüfkriterien_546[Spalte2]+50)/10</f>
        <v>5.2</v>
      </c>
      <c r="E82" s="98" t="s">
        <v>214</v>
      </c>
      <c r="F82" s="43" t="s">
        <v>252</v>
      </c>
      <c r="G82" s="43" t="s">
        <v>282</v>
      </c>
      <c r="H82" s="33"/>
      <c r="I82" s="33"/>
      <c r="J82" s="33"/>
      <c r="K82" s="33"/>
      <c r="L82" s="33"/>
      <c r="M82" s="118"/>
    </row>
    <row r="83" spans="2:13" s="47" customFormat="1" ht="60" customHeight="1" x14ac:dyDescent="0.25">
      <c r="B83" s="44" t="str">
        <f>CONCATENATE("8.",Prüfkriterien_546[[#This Row],[Spalte2]])</f>
        <v>8.3</v>
      </c>
      <c r="C83" s="45">
        <f>ROW()-ROW(Prüfkriterien_546[[#Headers],[Spalte3]])</f>
        <v>3</v>
      </c>
      <c r="D83" s="45">
        <f>(Prüfkriterien_546[Spalte2]+50)/10</f>
        <v>5.3</v>
      </c>
      <c r="E83" s="98" t="s">
        <v>215</v>
      </c>
      <c r="F83" s="43" t="s">
        <v>197</v>
      </c>
      <c r="G83" s="43"/>
      <c r="H83" s="33"/>
      <c r="I83" s="33"/>
      <c r="J83" s="33"/>
      <c r="K83" s="33"/>
      <c r="L83" s="33"/>
      <c r="M83" s="49"/>
    </row>
    <row r="84" spans="2:13" s="47" customFormat="1" ht="94.95" customHeight="1" x14ac:dyDescent="0.25">
      <c r="B84" s="44" t="str">
        <f>CONCATENATE("8.",Prüfkriterien_546[[#This Row],[Spalte2]])</f>
        <v>8.4</v>
      </c>
      <c r="C84" s="45">
        <f>ROW()-ROW(Prüfkriterien_546[[#Headers],[Spalte3]])</f>
        <v>4</v>
      </c>
      <c r="D84" s="45">
        <f>(Prüfkriterien_546[Spalte2]+50)/10</f>
        <v>5.4</v>
      </c>
      <c r="E84" s="98" t="s">
        <v>215</v>
      </c>
      <c r="F84" s="43" t="s">
        <v>198</v>
      </c>
      <c r="G84" s="43"/>
      <c r="H84" s="33"/>
      <c r="I84" s="33"/>
      <c r="J84" s="33"/>
      <c r="K84" s="33"/>
      <c r="L84" s="33"/>
      <c r="M84" s="49"/>
    </row>
    <row r="85" spans="2:13" s="47" customFormat="1" ht="70.2" customHeight="1" x14ac:dyDescent="0.25">
      <c r="B85" s="44" t="str">
        <f>CONCATENATE("8.",Prüfkriterien_546[[#This Row],[Spalte2]])</f>
        <v>8.5</v>
      </c>
      <c r="C85" s="45">
        <f>ROW()-ROW(Prüfkriterien_546[[#Headers],[Spalte3]])</f>
        <v>5</v>
      </c>
      <c r="D85" s="45">
        <f>(Prüfkriterien_546[Spalte2]+50)/10</f>
        <v>5.5</v>
      </c>
      <c r="E85" s="98" t="s">
        <v>216</v>
      </c>
      <c r="F85" s="43" t="s">
        <v>153</v>
      </c>
      <c r="G85" s="43" t="s">
        <v>276</v>
      </c>
      <c r="H85" s="33"/>
      <c r="I85" s="33"/>
      <c r="J85" s="33"/>
      <c r="K85" s="33"/>
      <c r="L85" s="33"/>
      <c r="M85" s="49"/>
    </row>
    <row r="86" spans="2:13" s="47" customFormat="1" ht="60" customHeight="1" x14ac:dyDescent="0.25">
      <c r="B86" s="44" t="str">
        <f>CONCATENATE("8.",Prüfkriterien_546[[#This Row],[Spalte2]])</f>
        <v>8.6</v>
      </c>
      <c r="C86" s="45">
        <f>ROW()-ROW(Prüfkriterien_546[[#Headers],[Spalte3]])</f>
        <v>6</v>
      </c>
      <c r="D86" s="45">
        <f>(Prüfkriterien_546[Spalte2]+50)/10</f>
        <v>5.6</v>
      </c>
      <c r="E86" s="98" t="s">
        <v>216</v>
      </c>
      <c r="F86" s="43" t="s">
        <v>199</v>
      </c>
      <c r="G86" s="43" t="s">
        <v>171</v>
      </c>
      <c r="H86" s="33"/>
      <c r="I86" s="33"/>
      <c r="J86" s="33"/>
      <c r="K86" s="33"/>
      <c r="L86" s="33"/>
      <c r="M86" s="49"/>
    </row>
    <row r="87" spans="2:13" s="47" customFormat="1" ht="60" customHeight="1" x14ac:dyDescent="0.25">
      <c r="B87" s="44" t="str">
        <f>CONCATENATE("8.",Prüfkriterien_546[[#This Row],[Spalte2]])</f>
        <v>8.7</v>
      </c>
      <c r="C87" s="45">
        <f>ROW()-ROW(Prüfkriterien_546[[#Headers],[Spalte3]])</f>
        <v>7</v>
      </c>
      <c r="D87" s="45">
        <f>(Prüfkriterien_546[Spalte2]+50)/10</f>
        <v>5.7</v>
      </c>
      <c r="E87" s="98" t="s">
        <v>216</v>
      </c>
      <c r="F87" s="43" t="s">
        <v>266</v>
      </c>
      <c r="G87" s="32"/>
      <c r="H87" s="33"/>
      <c r="I87" s="33"/>
      <c r="J87" s="33"/>
      <c r="K87" s="33"/>
      <c r="L87" s="33"/>
      <c r="M87" s="49"/>
    </row>
    <row r="88" spans="2:13" s="47" customFormat="1" ht="60" customHeight="1" x14ac:dyDescent="0.25">
      <c r="B88" s="44" t="str">
        <f>CONCATENATE("8.",Prüfkriterien_546[[#This Row],[Spalte2]])</f>
        <v>8.8</v>
      </c>
      <c r="C88" s="45">
        <f>ROW()-ROW(Prüfkriterien_546[[#Headers],[Spalte3]])</f>
        <v>8</v>
      </c>
      <c r="D88" s="45">
        <f>(Prüfkriterien_546[Spalte2]+50)/10</f>
        <v>5.8</v>
      </c>
      <c r="E88" s="98" t="s">
        <v>216</v>
      </c>
      <c r="F88" s="43" t="s">
        <v>271</v>
      </c>
      <c r="G88" s="32"/>
      <c r="H88" s="33"/>
      <c r="I88" s="33"/>
      <c r="J88" s="33"/>
      <c r="K88" s="33"/>
      <c r="L88" s="33"/>
      <c r="M88" s="49"/>
    </row>
    <row r="89" spans="2:13" s="47" customFormat="1" ht="60" customHeight="1" x14ac:dyDescent="0.25">
      <c r="B89" s="44" t="str">
        <f>CONCATENATE("8.",Prüfkriterien_546[[#This Row],[Spalte2]])</f>
        <v>8.9</v>
      </c>
      <c r="C89" s="45">
        <f>ROW()-ROW(Prüfkriterien_546[[#Headers],[Spalte3]])</f>
        <v>9</v>
      </c>
      <c r="D89" s="45">
        <f>(Prüfkriterien_546[Spalte2]+50)/10</f>
        <v>5.9</v>
      </c>
      <c r="E89" s="98" t="s">
        <v>216</v>
      </c>
      <c r="F89" s="43" t="s">
        <v>272</v>
      </c>
      <c r="G89" s="32" t="s">
        <v>273</v>
      </c>
      <c r="H89" s="33"/>
      <c r="I89" s="33"/>
      <c r="J89" s="33"/>
      <c r="K89" s="33"/>
      <c r="L89" s="33"/>
      <c r="M89" s="49"/>
    </row>
    <row r="90" spans="2:13" s="47" customFormat="1" ht="60" customHeight="1" x14ac:dyDescent="0.25">
      <c r="B90" s="44" t="str">
        <f>CONCATENATE("8.",Prüfkriterien_546[[#This Row],[Spalte2]])</f>
        <v>8.10</v>
      </c>
      <c r="C90" s="45">
        <f>ROW()-ROW(Prüfkriterien_546[[#Headers],[Spalte3]])</f>
        <v>10</v>
      </c>
      <c r="D90" s="45">
        <f>(Prüfkriterien_546[Spalte2]+50)/10</f>
        <v>6</v>
      </c>
      <c r="E90" s="98" t="s">
        <v>216</v>
      </c>
      <c r="F90" s="32" t="s">
        <v>274</v>
      </c>
      <c r="G90" s="32"/>
      <c r="H90" s="33"/>
      <c r="I90" s="33"/>
      <c r="J90" s="33"/>
      <c r="K90" s="33"/>
      <c r="L90" s="33"/>
      <c r="M90" s="49"/>
    </row>
    <row r="91" spans="2:13" s="47" customFormat="1" ht="70.2" customHeight="1" x14ac:dyDescent="0.25">
      <c r="B91" s="44" t="str">
        <f>CONCATENATE("8.",Prüfkriterien_546[[#This Row],[Spalte2]])</f>
        <v>8.11</v>
      </c>
      <c r="C91" s="45">
        <f>ROW()-ROW(Prüfkriterien_546[[#Headers],[Spalte3]])</f>
        <v>11</v>
      </c>
      <c r="D91" s="45">
        <f>(Prüfkriterien_546[Spalte2]+50)/10</f>
        <v>6.1</v>
      </c>
      <c r="E91" s="98" t="s">
        <v>217</v>
      </c>
      <c r="F91" s="43" t="s">
        <v>226</v>
      </c>
      <c r="G91" s="43" t="s">
        <v>172</v>
      </c>
      <c r="H91" s="33"/>
      <c r="I91" s="33"/>
      <c r="J91" s="33"/>
      <c r="K91" s="33"/>
      <c r="L91" s="33"/>
      <c r="M91" s="49"/>
    </row>
    <row r="92" spans="2:13" s="47" customFormat="1" ht="60" customHeight="1" x14ac:dyDescent="0.25">
      <c r="B92" s="44" t="str">
        <f>CONCATENATE("8.",Prüfkriterien_546[[#This Row],[Spalte2]])</f>
        <v>8.12</v>
      </c>
      <c r="C92" s="45">
        <f>ROW()-ROW(Prüfkriterien_546[[#Headers],[Spalte3]])</f>
        <v>12</v>
      </c>
      <c r="D92" s="45">
        <f>(Prüfkriterien_546[Spalte2]+50)/10</f>
        <v>6.2</v>
      </c>
      <c r="E92" s="98" t="s">
        <v>217</v>
      </c>
      <c r="F92" s="43" t="s">
        <v>201</v>
      </c>
      <c r="G92" s="43" t="s">
        <v>202</v>
      </c>
      <c r="H92" s="33"/>
      <c r="I92" s="33"/>
      <c r="J92" s="33"/>
      <c r="K92" s="33"/>
      <c r="L92" s="33"/>
      <c r="M92" s="118"/>
    </row>
    <row r="93" spans="2:13" s="47" customFormat="1" ht="124.95" customHeight="1" x14ac:dyDescent="0.25">
      <c r="B93" s="44" t="str">
        <f>CONCATENATE("8.",Prüfkriterien_546[[#This Row],[Spalte2]])</f>
        <v>8.13</v>
      </c>
      <c r="C93" s="45">
        <f>ROW()-ROW(Prüfkriterien_546[[#Headers],[Spalte3]])</f>
        <v>13</v>
      </c>
      <c r="D93" s="45">
        <f>(Prüfkriterien_546[Spalte2]+50)/10</f>
        <v>6.3</v>
      </c>
      <c r="E93" s="98" t="s">
        <v>217</v>
      </c>
      <c r="F93" s="43" t="s">
        <v>203</v>
      </c>
      <c r="G93" s="43" t="s">
        <v>173</v>
      </c>
      <c r="H93" s="33"/>
      <c r="I93" s="33"/>
      <c r="J93" s="33"/>
      <c r="K93" s="33"/>
      <c r="L93" s="33"/>
      <c r="M93" s="49"/>
    </row>
    <row r="94" spans="2:13" s="47" customFormat="1" ht="60" customHeight="1" x14ac:dyDescent="0.25">
      <c r="B94" s="44" t="str">
        <f>CONCATENATE("8.",Prüfkriterien_546[[#This Row],[Spalte2]])</f>
        <v>8.14</v>
      </c>
      <c r="C94" s="45">
        <f>ROW()-ROW(Prüfkriterien_546[[#Headers],[Spalte3]])</f>
        <v>14</v>
      </c>
      <c r="D94" s="45">
        <f>(Prüfkriterien_546[Spalte2]+50)/10</f>
        <v>6.4</v>
      </c>
      <c r="E94" s="98" t="s">
        <v>217</v>
      </c>
      <c r="F94" s="43" t="s">
        <v>204</v>
      </c>
      <c r="G94" s="43" t="s">
        <v>284</v>
      </c>
      <c r="H94" s="33"/>
      <c r="I94" s="33"/>
      <c r="J94" s="33"/>
      <c r="K94" s="33"/>
      <c r="L94" s="33"/>
      <c r="M94" s="118"/>
    </row>
    <row r="95" spans="2:13" s="47" customFormat="1" ht="112.5" customHeight="1" x14ac:dyDescent="0.25">
      <c r="B95" s="44" t="str">
        <f>CONCATENATE("8.",Prüfkriterien_546[[#This Row],[Spalte2]])</f>
        <v>8.15</v>
      </c>
      <c r="C95" s="45">
        <f>ROW()-ROW(Prüfkriterien_546[[#Headers],[Spalte3]])</f>
        <v>15</v>
      </c>
      <c r="D95" s="45">
        <f>(Prüfkriterien_546[Spalte2]+50)/10</f>
        <v>6.5</v>
      </c>
      <c r="E95" s="98" t="s">
        <v>218</v>
      </c>
      <c r="F95" s="43" t="s">
        <v>291</v>
      </c>
      <c r="G95" s="43"/>
      <c r="H95" s="33"/>
      <c r="I95" s="33"/>
      <c r="J95" s="33"/>
      <c r="K95" s="33"/>
      <c r="L95" s="33"/>
      <c r="M95" s="118"/>
    </row>
    <row r="96" spans="2:13" s="47" customFormat="1" ht="118.2" customHeight="1" x14ac:dyDescent="0.25">
      <c r="B96" s="44" t="str">
        <f>CONCATENATE("8.",Prüfkriterien_546[[#This Row],[Spalte2]])</f>
        <v>8.16</v>
      </c>
      <c r="C96" s="45">
        <f>ROW()-ROW(Prüfkriterien_546[[#Headers],[Spalte3]])</f>
        <v>16</v>
      </c>
      <c r="D96" s="45">
        <f>(Prüfkriterien_546[Spalte2]+50)/10</f>
        <v>6.6</v>
      </c>
      <c r="E96" s="98" t="s">
        <v>218</v>
      </c>
      <c r="F96" s="43" t="s">
        <v>234</v>
      </c>
      <c r="G96" s="43" t="s">
        <v>278</v>
      </c>
      <c r="H96" s="33"/>
      <c r="I96" s="33"/>
      <c r="J96" s="33"/>
      <c r="K96" s="33"/>
      <c r="L96" s="33"/>
      <c r="M96" s="49"/>
    </row>
    <row r="97" spans="2:13" s="47" customFormat="1" ht="60" customHeight="1" x14ac:dyDescent="0.25">
      <c r="B97" s="44" t="str">
        <f>CONCATENATE("8.",Prüfkriterien_546[[#This Row],[Spalte2]])</f>
        <v>8.17</v>
      </c>
      <c r="C97" s="45">
        <f>ROW()-ROW(Prüfkriterien_546[[#Headers],[Spalte3]])</f>
        <v>17</v>
      </c>
      <c r="D97" s="45">
        <f>(Prüfkriterien_546[Spalte2]+50)/10</f>
        <v>6.7</v>
      </c>
      <c r="E97" s="98" t="s">
        <v>218</v>
      </c>
      <c r="F97" s="43" t="s">
        <v>244</v>
      </c>
      <c r="G97" s="43"/>
      <c r="H97" s="33"/>
      <c r="I97" s="33"/>
      <c r="J97" s="33"/>
      <c r="K97" s="33"/>
      <c r="L97" s="33"/>
      <c r="M97" s="49"/>
    </row>
    <row r="98" spans="2:13" s="47" customFormat="1" ht="60" customHeight="1" x14ac:dyDescent="0.25">
      <c r="B98" s="44" t="str">
        <f>CONCATENATE("8.",Prüfkriterien_546[[#This Row],[Spalte2]])</f>
        <v>8.18</v>
      </c>
      <c r="C98" s="45">
        <f>ROW()-ROW(Prüfkriterien_546[[#Headers],[Spalte3]])</f>
        <v>18</v>
      </c>
      <c r="D98" s="45">
        <f>(Prüfkriterien_546[Spalte2]+50)/10</f>
        <v>6.8</v>
      </c>
      <c r="E98" s="98" t="s">
        <v>218</v>
      </c>
      <c r="F98" s="43" t="s">
        <v>253</v>
      </c>
      <c r="G98" s="43" t="s">
        <v>174</v>
      </c>
      <c r="H98" s="33"/>
      <c r="I98" s="33"/>
      <c r="J98" s="33"/>
      <c r="K98" s="33"/>
      <c r="L98" s="33"/>
      <c r="M98" s="49"/>
    </row>
    <row r="99" spans="2:13" s="47" customFormat="1" ht="60" customHeight="1" x14ac:dyDescent="0.25">
      <c r="B99" s="44" t="str">
        <f>CONCATENATE("8.",Prüfkriterien_546[[#This Row],[Spalte2]])</f>
        <v>8.19</v>
      </c>
      <c r="C99" s="45">
        <f>ROW()-ROW(Prüfkriterien_546[[#Headers],[Spalte3]])</f>
        <v>19</v>
      </c>
      <c r="D99" s="45">
        <f>(Prüfkriterien_546[Spalte2]+50)/10</f>
        <v>6.9</v>
      </c>
      <c r="E99" s="31" t="s">
        <v>218</v>
      </c>
      <c r="F99" s="32" t="s">
        <v>206</v>
      </c>
      <c r="G99" s="32"/>
      <c r="H99" s="33"/>
      <c r="I99" s="33"/>
      <c r="J99" s="33"/>
      <c r="K99" s="33"/>
      <c r="L99" s="33"/>
      <c r="M99" s="49"/>
    </row>
    <row r="100" spans="2:13" s="47" customFormat="1" ht="60" customHeight="1" x14ac:dyDescent="0.25">
      <c r="B100" s="44" t="str">
        <f>CONCATENATE("8.",Prüfkriterien_546[[#This Row],[Spalte2]])</f>
        <v>8.20</v>
      </c>
      <c r="C100" s="45">
        <f>ROW()-ROW(Prüfkriterien_546[[#Headers],[Spalte3]])</f>
        <v>20</v>
      </c>
      <c r="D100" s="45">
        <f>(Prüfkriterien_546[Spalte2]+50)/10</f>
        <v>7</v>
      </c>
      <c r="E100" s="31" t="s">
        <v>218</v>
      </c>
      <c r="F100" s="32" t="s">
        <v>255</v>
      </c>
      <c r="G100" s="32" t="s">
        <v>300</v>
      </c>
      <c r="H100" s="33"/>
      <c r="I100" s="33"/>
      <c r="J100" s="33"/>
      <c r="K100" s="33"/>
      <c r="L100" s="33"/>
      <c r="M100" s="118"/>
    </row>
    <row r="101" spans="2:13" s="47" customFormat="1" ht="60" customHeight="1" x14ac:dyDescent="0.25">
      <c r="B101" s="44" t="str">
        <f>CONCATENATE("8.",Prüfkriterien_546[[#This Row],[Spalte2]])</f>
        <v>8.21</v>
      </c>
      <c r="C101" s="45">
        <f>ROW()-ROW(Prüfkriterien_546[[#Headers],[Spalte3]])</f>
        <v>21</v>
      </c>
      <c r="D101" s="45">
        <f>(Prüfkriterien_546[Spalte2]+50)/10</f>
        <v>7.1</v>
      </c>
      <c r="E101" s="31" t="s">
        <v>218</v>
      </c>
      <c r="F101" s="32" t="s">
        <v>207</v>
      </c>
      <c r="G101" s="32"/>
      <c r="H101" s="33"/>
      <c r="I101" s="33"/>
      <c r="J101" s="33"/>
      <c r="K101" s="33"/>
      <c r="L101" s="33"/>
      <c r="M101" s="49"/>
    </row>
    <row r="102" spans="2:13" s="47" customFormat="1" ht="135.75" customHeight="1" x14ac:dyDescent="0.25">
      <c r="B102" s="44" t="str">
        <f>CONCATENATE("8.",Prüfkriterien_546[[#This Row],[Spalte2]])</f>
        <v>8.22</v>
      </c>
      <c r="C102" s="45">
        <f>ROW()-ROW(Prüfkriterien_546[[#Headers],[Spalte3]])</f>
        <v>22</v>
      </c>
      <c r="D102" s="45">
        <f>(Prüfkriterien_546[Spalte2]+50)/10</f>
        <v>7.2</v>
      </c>
      <c r="E102" s="31" t="s">
        <v>218</v>
      </c>
      <c r="F102" s="32" t="s">
        <v>227</v>
      </c>
      <c r="G102" s="32" t="s">
        <v>175</v>
      </c>
      <c r="H102" s="33"/>
      <c r="I102" s="33"/>
      <c r="J102" s="33"/>
      <c r="K102" s="33"/>
      <c r="L102" s="33"/>
      <c r="M102" s="49"/>
    </row>
    <row r="103" spans="2:13" s="47" customFormat="1" ht="277.95" customHeight="1" x14ac:dyDescent="0.25">
      <c r="B103" s="44" t="str">
        <f>CONCATENATE("8.",Prüfkriterien_546[[#This Row],[Spalte2]])</f>
        <v>8.23</v>
      </c>
      <c r="C103" s="45">
        <f>ROW()-ROW(Prüfkriterien_546[[#Headers],[Spalte3]])</f>
        <v>23</v>
      </c>
      <c r="D103" s="45">
        <f>(Prüfkriterien_546[Spalte2]+50)/10</f>
        <v>7.3</v>
      </c>
      <c r="E103" s="31" t="s">
        <v>218</v>
      </c>
      <c r="F103" s="32" t="s">
        <v>228</v>
      </c>
      <c r="G103" s="32" t="s">
        <v>287</v>
      </c>
      <c r="H103" s="33"/>
      <c r="I103" s="33"/>
      <c r="J103" s="33"/>
      <c r="K103" s="33"/>
      <c r="L103" s="33"/>
      <c r="M103" s="118"/>
    </row>
    <row r="104" spans="2:13" s="47" customFormat="1" ht="119.4" customHeight="1" x14ac:dyDescent="0.25">
      <c r="B104" s="44" t="str">
        <f>CONCATENATE("8.",Prüfkriterien_546[[#This Row],[Spalte2]])</f>
        <v>8.24</v>
      </c>
      <c r="C104" s="45">
        <f>ROW()-ROW(Prüfkriterien_546[[#Headers],[Spalte3]])</f>
        <v>24</v>
      </c>
      <c r="D104" s="45">
        <f>(Prüfkriterien_546[Spalte2]+50)/10</f>
        <v>7.4</v>
      </c>
      <c r="E104" s="31" t="s">
        <v>219</v>
      </c>
      <c r="F104" s="32" t="s">
        <v>225</v>
      </c>
      <c r="G104" s="32" t="s">
        <v>292</v>
      </c>
      <c r="H104" s="33"/>
      <c r="I104" s="33"/>
      <c r="J104" s="33"/>
      <c r="K104" s="33"/>
      <c r="L104" s="33"/>
      <c r="M104" s="118"/>
    </row>
    <row r="105" spans="2:13" s="47" customFormat="1" ht="60" customHeight="1" x14ac:dyDescent="0.25">
      <c r="B105" s="44" t="str">
        <f>CONCATENATE("8.",Prüfkriterien_546[[#This Row],[Spalte2]])</f>
        <v>8.25</v>
      </c>
      <c r="C105" s="45">
        <f>ROW()-ROW(Prüfkriterien_546[[#Headers],[Spalte3]])</f>
        <v>25</v>
      </c>
      <c r="D105" s="45">
        <f>(Prüfkriterien_546[Spalte2]+50)/10</f>
        <v>7.5</v>
      </c>
      <c r="E105" s="31" t="s">
        <v>220</v>
      </c>
      <c r="F105" s="32" t="s">
        <v>256</v>
      </c>
      <c r="G105" s="32" t="s">
        <v>293</v>
      </c>
      <c r="H105" s="33"/>
      <c r="I105" s="33"/>
      <c r="J105" s="33"/>
      <c r="K105" s="33"/>
      <c r="L105" s="33"/>
      <c r="M105" s="118"/>
    </row>
    <row r="106" spans="2:13" s="47" customFormat="1" ht="60" customHeight="1" x14ac:dyDescent="0.25">
      <c r="B106" s="44" t="str">
        <f>CONCATENATE("8.",Prüfkriterien_546[[#This Row],[Spalte2]])</f>
        <v>8.26</v>
      </c>
      <c r="C106" s="45">
        <f>ROW()-ROW(Prüfkriterien_546[[#Headers],[Spalte3]])</f>
        <v>26</v>
      </c>
      <c r="D106" s="45">
        <f>(Prüfkriterien_546[Spalte2]+50)/10</f>
        <v>7.6</v>
      </c>
      <c r="E106" s="31" t="s">
        <v>220</v>
      </c>
      <c r="F106" s="32" t="s">
        <v>301</v>
      </c>
      <c r="G106" s="32" t="s">
        <v>294</v>
      </c>
      <c r="H106" s="33"/>
      <c r="I106" s="33"/>
      <c r="J106" s="33"/>
      <c r="K106" s="33"/>
      <c r="L106" s="33"/>
      <c r="M106" s="118"/>
    </row>
    <row r="107" spans="2:13" s="47" customFormat="1" ht="134.4" customHeight="1" x14ac:dyDescent="0.25">
      <c r="B107" s="44" t="str">
        <f>CONCATENATE("8.",Prüfkriterien_546[[#This Row],[Spalte2]])</f>
        <v>8.27</v>
      </c>
      <c r="C107" s="45">
        <f>ROW()-ROW(Prüfkriterien_546[[#Headers],[Spalte3]])</f>
        <v>27</v>
      </c>
      <c r="D107" s="45">
        <f>(Prüfkriterien_546[Spalte2]+50)/10</f>
        <v>7.7</v>
      </c>
      <c r="E107" s="31" t="s">
        <v>221</v>
      </c>
      <c r="F107" s="32" t="s">
        <v>229</v>
      </c>
      <c r="G107" s="32" t="s">
        <v>295</v>
      </c>
      <c r="H107" s="33"/>
      <c r="I107" s="33"/>
      <c r="J107" s="33"/>
      <c r="K107" s="33"/>
      <c r="L107" s="33"/>
      <c r="M107" s="118"/>
    </row>
    <row r="108" spans="2:13" s="113" customFormat="1" ht="60" customHeight="1" x14ac:dyDescent="0.25">
      <c r="B108" s="108" t="str">
        <f>CONCATENATE("8.",Prüfkriterien_546[[#This Row],[Spalte2]])</f>
        <v>8.28</v>
      </c>
      <c r="C108" s="109">
        <f>ROW()-ROW(Prüfkriterien_546[[#Headers],[Spalte3]])</f>
        <v>28</v>
      </c>
      <c r="D108" s="109">
        <f>(Prüfkriterien_546[Spalte2]+50)/10</f>
        <v>7.8</v>
      </c>
      <c r="E108" s="110" t="s">
        <v>222</v>
      </c>
      <c r="F108" s="105" t="s">
        <v>242</v>
      </c>
      <c r="G108" s="105"/>
      <c r="H108" s="111"/>
      <c r="I108" s="111"/>
      <c r="J108" s="111"/>
      <c r="K108" s="111"/>
      <c r="L108" s="111"/>
      <c r="M108" s="112"/>
    </row>
    <row r="109" spans="2:13" s="47" customFormat="1" ht="60" customHeight="1" x14ac:dyDescent="0.25">
      <c r="B109" s="44" t="str">
        <f>CONCATENATE("8.",Prüfkriterien_546[[#This Row],[Spalte2]])</f>
        <v>8.29</v>
      </c>
      <c r="C109" s="45">
        <f>ROW()-ROW(Prüfkriterien_546[[#Headers],[Spalte3]])</f>
        <v>29</v>
      </c>
      <c r="D109" s="45">
        <f>(Prüfkriterien_546[Spalte2]+50)/10</f>
        <v>7.9</v>
      </c>
      <c r="E109" s="31" t="s">
        <v>222</v>
      </c>
      <c r="F109" s="32" t="s">
        <v>246</v>
      </c>
      <c r="G109" s="32" t="s">
        <v>302</v>
      </c>
      <c r="H109" s="70"/>
      <c r="I109" s="70"/>
      <c r="J109" s="70"/>
      <c r="K109" s="70"/>
      <c r="L109" s="70"/>
      <c r="M109" s="118"/>
    </row>
    <row r="110" spans="2:13" s="47" customFormat="1" ht="60" customHeight="1" x14ac:dyDescent="0.25">
      <c r="B110" s="56" t="str">
        <f>CONCATENATE("8.",Prüfkriterien_546[[#This Row],[Spalte2]])</f>
        <v>8.30</v>
      </c>
      <c r="C110" s="57">
        <f>ROW()-ROW(Prüfkriterien_546[[#Headers],[Spalte3]])</f>
        <v>30</v>
      </c>
      <c r="D110" s="57">
        <f>(Prüfkriterien_546[Spalte2]+50)/10</f>
        <v>8</v>
      </c>
      <c r="E110" s="31" t="s">
        <v>222</v>
      </c>
      <c r="F110" s="32" t="s">
        <v>209</v>
      </c>
      <c r="G110" s="32" t="s">
        <v>211</v>
      </c>
      <c r="H110" s="70"/>
      <c r="I110" s="70"/>
      <c r="J110" s="70"/>
      <c r="K110" s="70"/>
      <c r="L110" s="70"/>
      <c r="M110" s="87"/>
    </row>
    <row r="111" spans="2:13" s="47" customFormat="1" ht="199.95" customHeight="1" x14ac:dyDescent="0.25">
      <c r="B111" s="44" t="str">
        <f>CONCATENATE("8.",Prüfkriterien_546[[#This Row],[Spalte2]])</f>
        <v>8.31</v>
      </c>
      <c r="C111" s="45">
        <f>ROW()-ROW(Prüfkriterien_546[[#Headers],[Spalte3]])</f>
        <v>31</v>
      </c>
      <c r="D111" s="45">
        <f>(Prüfkriterien_546[Spalte2]+50)/10</f>
        <v>8.1</v>
      </c>
      <c r="E111" s="31" t="s">
        <v>223</v>
      </c>
      <c r="F111" s="32" t="s">
        <v>210</v>
      </c>
      <c r="G111" s="32" t="s">
        <v>212</v>
      </c>
      <c r="H111" s="70"/>
      <c r="I111" s="70"/>
      <c r="J111" s="70"/>
      <c r="K111" s="70"/>
      <c r="L111" s="70"/>
      <c r="M111" s="49"/>
    </row>
    <row r="112" spans="2:13" s="47" customFormat="1" ht="84.75" customHeight="1" x14ac:dyDescent="0.25">
      <c r="B112" s="44" t="str">
        <f>CONCATENATE("8.",Prüfkriterien_546[[#This Row],[Spalte2]])</f>
        <v>8.32</v>
      </c>
      <c r="C112" s="45">
        <f>ROW()-ROW(Prüfkriterien_546[[#Headers],[Spalte3]])</f>
        <v>32</v>
      </c>
      <c r="D112" s="45">
        <f>(Prüfkriterien_546[Spalte2]+50)/10</f>
        <v>8.1999999999999993</v>
      </c>
      <c r="E112" s="31" t="s">
        <v>223</v>
      </c>
      <c r="F112" s="32" t="s">
        <v>148</v>
      </c>
      <c r="G112" s="32" t="s">
        <v>149</v>
      </c>
      <c r="H112" s="70"/>
      <c r="I112" s="70"/>
      <c r="J112" s="70"/>
      <c r="K112" s="70"/>
      <c r="L112" s="70"/>
      <c r="M112" s="49"/>
    </row>
    <row r="113" spans="2:13" s="47" customFormat="1" ht="60" customHeight="1" x14ac:dyDescent="0.25">
      <c r="B113" s="56" t="str">
        <f>CONCATENATE("8.",Prüfkriterien_546[[#This Row],[Spalte2]])</f>
        <v>8.33</v>
      </c>
      <c r="C113" s="57">
        <f>ROW()-ROW(Prüfkriterien_546[[#Headers],[Spalte3]])</f>
        <v>33</v>
      </c>
      <c r="D113" s="57">
        <f>(Prüfkriterien_546[Spalte2]+50)/10</f>
        <v>8.3000000000000007</v>
      </c>
      <c r="E113" s="31" t="s">
        <v>223</v>
      </c>
      <c r="F113" s="32" t="s">
        <v>150</v>
      </c>
      <c r="G113" s="32" t="s">
        <v>176</v>
      </c>
      <c r="H113" s="70"/>
      <c r="I113" s="70"/>
      <c r="J113" s="70"/>
      <c r="K113" s="70"/>
      <c r="L113" s="70"/>
      <c r="M113" s="87"/>
    </row>
    <row r="114" spans="2:13" x14ac:dyDescent="0.25">
      <c r="B114" s="173" t="s">
        <v>322</v>
      </c>
      <c r="C114" s="174"/>
      <c r="D114" s="174"/>
      <c r="E114" s="174"/>
      <c r="F114" s="174"/>
      <c r="G114" s="174"/>
      <c r="H114" s="174"/>
      <c r="I114" s="174"/>
      <c r="J114" s="174"/>
      <c r="K114" s="174"/>
      <c r="L114" s="174"/>
      <c r="M114" s="175"/>
    </row>
    <row r="115" spans="2:13" s="47" customFormat="1" hidden="1" x14ac:dyDescent="0.25">
      <c r="B115" s="44" t="s">
        <v>39</v>
      </c>
      <c r="C115" s="45" t="s">
        <v>40</v>
      </c>
      <c r="D115" s="45" t="s">
        <v>41</v>
      </c>
      <c r="E115" s="31" t="s">
        <v>42</v>
      </c>
      <c r="F115" s="32" t="s">
        <v>43</v>
      </c>
      <c r="G115" s="32" t="s">
        <v>46</v>
      </c>
      <c r="H115" s="33" t="s">
        <v>47</v>
      </c>
      <c r="I115" s="33" t="s">
        <v>48</v>
      </c>
      <c r="J115" s="33" t="s">
        <v>49</v>
      </c>
      <c r="K115" s="33" t="s">
        <v>50</v>
      </c>
      <c r="L115" s="33" t="s">
        <v>51</v>
      </c>
      <c r="M115" s="34" t="s">
        <v>52</v>
      </c>
    </row>
    <row r="116" spans="2:13" s="47" customFormat="1" ht="60" customHeight="1" x14ac:dyDescent="0.25">
      <c r="B116" s="44" t="str">
        <f>CONCATENATE("9.",Prüfkriterien_647[[#This Row],[Spalte2]])</f>
        <v>9.1</v>
      </c>
      <c r="C116" s="45">
        <f>ROW()-ROW(Prüfkriterien_647[[#Headers],[Spalte3]])</f>
        <v>1</v>
      </c>
      <c r="D116" s="45">
        <f>(Prüfkriterien_647[Spalte2]+60)/10</f>
        <v>6.1</v>
      </c>
      <c r="E116" s="98" t="s">
        <v>224</v>
      </c>
      <c r="F116" s="43" t="s">
        <v>230</v>
      </c>
      <c r="G116" s="43" t="s">
        <v>303</v>
      </c>
      <c r="H116" s="70"/>
      <c r="I116" s="70"/>
      <c r="J116" s="70"/>
      <c r="K116" s="70"/>
      <c r="L116" s="70"/>
      <c r="M116" s="118"/>
    </row>
    <row r="117" spans="2:13" s="47" customFormat="1" ht="60" customHeight="1" x14ac:dyDescent="0.25">
      <c r="B117" s="56" t="str">
        <f>CONCATENATE("9.",Prüfkriterien_647[[#This Row],[Spalte2]])</f>
        <v>9.2</v>
      </c>
      <c r="C117" s="57">
        <f>ROW()-ROW(Prüfkriterien_647[[#Headers],[Spalte3]])</f>
        <v>2</v>
      </c>
      <c r="D117" s="57">
        <f>(Prüfkriterien_647[Spalte2]+60)/10</f>
        <v>6.2</v>
      </c>
      <c r="E117" s="98" t="s">
        <v>224</v>
      </c>
      <c r="F117" s="43" t="s">
        <v>231</v>
      </c>
      <c r="G117" s="43" t="s">
        <v>303</v>
      </c>
      <c r="H117" s="70"/>
      <c r="I117" s="70"/>
      <c r="J117" s="70"/>
      <c r="K117" s="70"/>
      <c r="L117" s="70"/>
      <c r="M117" s="118"/>
    </row>
    <row r="118" spans="2:13" s="47" customFormat="1" ht="60" customHeight="1" x14ac:dyDescent="0.25">
      <c r="B118" s="44" t="str">
        <f>CONCATENATE("9.",Prüfkriterien_647[[#This Row],[Spalte2]])</f>
        <v>9.3</v>
      </c>
      <c r="C118" s="45">
        <f>ROW()-ROW(Prüfkriterien_647[[#Headers],[Spalte3]])</f>
        <v>3</v>
      </c>
      <c r="D118" s="45">
        <f>(Prüfkriterien_647[Spalte2]+60)/10</f>
        <v>6.3</v>
      </c>
      <c r="E118" s="98" t="s">
        <v>224</v>
      </c>
      <c r="F118" s="43" t="s">
        <v>232</v>
      </c>
      <c r="G118" s="43" t="s">
        <v>303</v>
      </c>
      <c r="H118" s="70"/>
      <c r="I118" s="70"/>
      <c r="J118" s="70"/>
      <c r="K118" s="70"/>
      <c r="L118" s="70"/>
      <c r="M118" s="118"/>
    </row>
    <row r="119" spans="2:13" s="47" customFormat="1" ht="60" customHeight="1" x14ac:dyDescent="0.25">
      <c r="B119" s="44" t="str">
        <f>CONCATENATE("9.",Prüfkriterien_647[[#This Row],[Spalte2]])</f>
        <v>9.4</v>
      </c>
      <c r="C119" s="45">
        <f>ROW()-ROW(Prüfkriterien_647[[#Headers],[Spalte3]])</f>
        <v>4</v>
      </c>
      <c r="D119" s="45">
        <f>(Prüfkriterien_647[Spalte2]+60)/10</f>
        <v>6.4</v>
      </c>
      <c r="E119" s="98" t="s">
        <v>224</v>
      </c>
      <c r="F119" s="43" t="s">
        <v>233</v>
      </c>
      <c r="G119" s="43" t="s">
        <v>303</v>
      </c>
      <c r="H119" s="70"/>
      <c r="I119" s="70"/>
      <c r="J119" s="70"/>
      <c r="K119" s="70"/>
      <c r="L119" s="70"/>
      <c r="M119" s="118"/>
    </row>
    <row r="120" spans="2:13" s="47" customFormat="1" hidden="1" x14ac:dyDescent="0.25">
      <c r="B120" s="56" t="str">
        <f>CONCATENATE("6.",Prüfkriterien_647[[#This Row],[Spalte2]])</f>
        <v>6.5</v>
      </c>
      <c r="C120" s="57">
        <f>ROW()-ROW(Prüfkriterien_647[[#Headers],[Spalte3]])</f>
        <v>5</v>
      </c>
      <c r="D120" s="57">
        <f>(Prüfkriterien_647[Spalte2]+60)/10</f>
        <v>6.5</v>
      </c>
      <c r="E120" s="58"/>
      <c r="F120" s="59"/>
      <c r="G120" s="59"/>
      <c r="H120" s="70"/>
      <c r="I120" s="70"/>
      <c r="J120" s="70"/>
      <c r="K120" s="70"/>
      <c r="L120" s="70"/>
      <c r="M120" s="87"/>
    </row>
    <row r="121" spans="2:13" hidden="1" x14ac:dyDescent="0.25">
      <c r="B121" s="173" t="s">
        <v>68</v>
      </c>
      <c r="C121" s="174"/>
      <c r="D121" s="174"/>
      <c r="E121" s="174"/>
      <c r="F121" s="174"/>
      <c r="G121" s="174"/>
      <c r="H121" s="174"/>
      <c r="I121" s="174"/>
      <c r="J121" s="174"/>
      <c r="K121" s="174"/>
      <c r="L121" s="174"/>
      <c r="M121" s="175"/>
    </row>
    <row r="122" spans="2:13" s="47" customFormat="1" hidden="1" x14ac:dyDescent="0.25">
      <c r="B122" s="44" t="s">
        <v>39</v>
      </c>
      <c r="C122" s="45" t="s">
        <v>40</v>
      </c>
      <c r="D122" s="45" t="s">
        <v>41</v>
      </c>
      <c r="E122" s="31" t="s">
        <v>42</v>
      </c>
      <c r="F122" s="32" t="s">
        <v>43</v>
      </c>
      <c r="G122" s="32" t="s">
        <v>46</v>
      </c>
      <c r="H122" s="33" t="s">
        <v>47</v>
      </c>
      <c r="I122" s="33" t="s">
        <v>48</v>
      </c>
      <c r="J122" s="33" t="s">
        <v>49</v>
      </c>
      <c r="K122" s="33" t="s">
        <v>50</v>
      </c>
      <c r="L122" s="33" t="s">
        <v>51</v>
      </c>
      <c r="M122" s="34" t="s">
        <v>52</v>
      </c>
    </row>
    <row r="123" spans="2:13" s="47" customFormat="1" hidden="1" x14ac:dyDescent="0.25">
      <c r="B123" s="44" t="str">
        <f>CONCATENATE("7.",Prüfkriterien_748[[#This Row],[Spalte2]])</f>
        <v>7.1</v>
      </c>
      <c r="C123" s="45">
        <f>ROW()-ROW(Prüfkriterien_748[[#Headers],[Spalte3]])</f>
        <v>1</v>
      </c>
      <c r="D123" s="45">
        <f>(Prüfkriterien_748[Spalte2]+70)/10</f>
        <v>7.1</v>
      </c>
      <c r="E123" s="31"/>
      <c r="F123" s="32"/>
      <c r="G123" s="32"/>
      <c r="H123" s="70"/>
      <c r="I123" s="70"/>
      <c r="J123" s="70"/>
      <c r="K123" s="70"/>
      <c r="L123" s="70"/>
      <c r="M123" s="49"/>
    </row>
    <row r="124" spans="2:13" s="47" customFormat="1" hidden="1" x14ac:dyDescent="0.25">
      <c r="B124" s="56" t="str">
        <f>CONCATENATE("7.",Prüfkriterien_748[[#This Row],[Spalte2]])</f>
        <v>7.2</v>
      </c>
      <c r="C124" s="57">
        <f>ROW()-ROW(Prüfkriterien_748[[#Headers],[Spalte3]])</f>
        <v>2</v>
      </c>
      <c r="D124" s="57">
        <f>(Prüfkriterien_748[Spalte2]+70)/10</f>
        <v>7.2</v>
      </c>
      <c r="E124" s="58"/>
      <c r="F124" s="59"/>
      <c r="G124" s="59"/>
      <c r="H124" s="70"/>
      <c r="I124" s="70"/>
      <c r="J124" s="70"/>
      <c r="K124" s="70"/>
      <c r="L124" s="70"/>
      <c r="M124" s="87"/>
    </row>
    <row r="125" spans="2:13" s="47" customFormat="1" hidden="1" x14ac:dyDescent="0.25">
      <c r="B125" s="44" t="str">
        <f>CONCATENATE("7.",Prüfkriterien_748[[#This Row],[Spalte2]])</f>
        <v>7.3</v>
      </c>
      <c r="C125" s="45">
        <f>ROW()-ROW(Prüfkriterien_748[[#Headers],[Spalte3]])</f>
        <v>3</v>
      </c>
      <c r="D125" s="45">
        <f>(Prüfkriterien_748[Spalte2]+70)/10</f>
        <v>7.3</v>
      </c>
      <c r="E125" s="31"/>
      <c r="F125" s="32"/>
      <c r="G125" s="32"/>
      <c r="H125" s="70"/>
      <c r="I125" s="70"/>
      <c r="J125" s="70"/>
      <c r="K125" s="70"/>
      <c r="L125" s="70"/>
      <c r="M125" s="49"/>
    </row>
    <row r="126" spans="2:13" s="47" customFormat="1" hidden="1" x14ac:dyDescent="0.25">
      <c r="B126" s="44" t="str">
        <f>CONCATENATE("7.",Prüfkriterien_748[[#This Row],[Spalte2]])</f>
        <v>7.4</v>
      </c>
      <c r="C126" s="45">
        <f>ROW()-ROW(Prüfkriterien_748[[#Headers],[Spalte3]])</f>
        <v>4</v>
      </c>
      <c r="D126" s="45">
        <f>(Prüfkriterien_748[Spalte2]+70)/10</f>
        <v>7.4</v>
      </c>
      <c r="E126" s="31"/>
      <c r="F126" s="32"/>
      <c r="G126" s="32"/>
      <c r="H126" s="70"/>
      <c r="I126" s="70"/>
      <c r="J126" s="70"/>
      <c r="K126" s="70"/>
      <c r="L126" s="70"/>
      <c r="M126" s="49"/>
    </row>
    <row r="127" spans="2:13" s="47" customFormat="1" hidden="1" x14ac:dyDescent="0.25">
      <c r="B127" s="56" t="str">
        <f>CONCATENATE("7.",Prüfkriterien_748[[#This Row],[Spalte2]])</f>
        <v>7.5</v>
      </c>
      <c r="C127" s="57">
        <f>ROW()-ROW(Prüfkriterien_748[[#Headers],[Spalte3]])</f>
        <v>5</v>
      </c>
      <c r="D127" s="57">
        <f>(Prüfkriterien_748[Spalte2]+70)/10</f>
        <v>7.5</v>
      </c>
      <c r="E127" s="58"/>
      <c r="F127" s="59"/>
      <c r="G127" s="59"/>
      <c r="H127" s="70"/>
      <c r="I127" s="70"/>
      <c r="J127" s="70"/>
      <c r="K127" s="70"/>
      <c r="L127" s="70"/>
      <c r="M127" s="87"/>
    </row>
    <row r="128" spans="2:13" hidden="1" x14ac:dyDescent="0.25">
      <c r="B128" s="173" t="s">
        <v>69</v>
      </c>
      <c r="C128" s="174"/>
      <c r="D128" s="174"/>
      <c r="E128" s="174"/>
      <c r="F128" s="174"/>
      <c r="G128" s="174"/>
      <c r="H128" s="174"/>
      <c r="I128" s="174"/>
      <c r="J128" s="174"/>
      <c r="K128" s="174"/>
      <c r="L128" s="174"/>
      <c r="M128" s="175"/>
    </row>
    <row r="129" spans="2:13" s="47" customFormat="1" hidden="1" x14ac:dyDescent="0.25">
      <c r="B129" s="44" t="s">
        <v>39</v>
      </c>
      <c r="C129" s="45" t="s">
        <v>40</v>
      </c>
      <c r="D129" s="45" t="s">
        <v>41</v>
      </c>
      <c r="E129" s="31" t="s">
        <v>42</v>
      </c>
      <c r="F129" s="32" t="s">
        <v>43</v>
      </c>
      <c r="G129" s="32" t="s">
        <v>46</v>
      </c>
      <c r="H129" s="33" t="s">
        <v>47</v>
      </c>
      <c r="I129" s="33" t="s">
        <v>48</v>
      </c>
      <c r="J129" s="33" t="s">
        <v>49</v>
      </c>
      <c r="K129" s="33" t="s">
        <v>50</v>
      </c>
      <c r="L129" s="33" t="s">
        <v>51</v>
      </c>
      <c r="M129" s="34" t="s">
        <v>52</v>
      </c>
    </row>
    <row r="130" spans="2:13" s="47" customFormat="1" hidden="1" x14ac:dyDescent="0.25">
      <c r="B130" s="44" t="str">
        <f>CONCATENATE("8.",Prüfkriterien_849[[#This Row],[Spalte2]])</f>
        <v>8.1</v>
      </c>
      <c r="C130" s="45">
        <f>ROW()-ROW(Prüfkriterien_849[[#Headers],[Spalte3]])</f>
        <v>1</v>
      </c>
      <c r="D130" s="45">
        <f>(Prüfkriterien_849[Spalte2]+80)/10</f>
        <v>8.1</v>
      </c>
      <c r="E130" s="31"/>
      <c r="F130" s="32"/>
      <c r="G130" s="32"/>
      <c r="H130" s="70"/>
      <c r="I130" s="70"/>
      <c r="J130" s="70"/>
      <c r="K130" s="70"/>
      <c r="L130" s="70"/>
      <c r="M130" s="49"/>
    </row>
    <row r="131" spans="2:13" s="47" customFormat="1" hidden="1" x14ac:dyDescent="0.25">
      <c r="B131" s="56" t="str">
        <f>CONCATENATE("8.",Prüfkriterien_849[[#This Row],[Spalte2]])</f>
        <v>8.2</v>
      </c>
      <c r="C131" s="57">
        <f>ROW()-ROW(Prüfkriterien_849[[#Headers],[Spalte3]])</f>
        <v>2</v>
      </c>
      <c r="D131" s="57">
        <f>(Prüfkriterien_849[Spalte2]+80)/10</f>
        <v>8.1999999999999993</v>
      </c>
      <c r="E131" s="58"/>
      <c r="F131" s="59"/>
      <c r="G131" s="59"/>
      <c r="H131" s="70"/>
      <c r="I131" s="70"/>
      <c r="J131" s="70"/>
      <c r="K131" s="70"/>
      <c r="L131" s="70"/>
      <c r="M131" s="87"/>
    </row>
    <row r="132" spans="2:13" s="47" customFormat="1" hidden="1" x14ac:dyDescent="0.25">
      <c r="B132" s="44" t="str">
        <f>CONCATENATE("8.",Prüfkriterien_849[[#This Row],[Spalte2]])</f>
        <v>8.3</v>
      </c>
      <c r="C132" s="45">
        <f>ROW()-ROW(Prüfkriterien_849[[#Headers],[Spalte3]])</f>
        <v>3</v>
      </c>
      <c r="D132" s="45">
        <f>(Prüfkriterien_849[Spalte2]+80)/10</f>
        <v>8.3000000000000007</v>
      </c>
      <c r="E132" s="31"/>
      <c r="F132" s="32"/>
      <c r="G132" s="32"/>
      <c r="H132" s="70"/>
      <c r="I132" s="70"/>
      <c r="J132" s="70"/>
      <c r="K132" s="70"/>
      <c r="L132" s="70"/>
      <c r="M132" s="49"/>
    </row>
    <row r="133" spans="2:13" s="47" customFormat="1" hidden="1" x14ac:dyDescent="0.25">
      <c r="B133" s="44" t="str">
        <f>CONCATENATE("8.",Prüfkriterien_849[[#This Row],[Spalte2]])</f>
        <v>8.4</v>
      </c>
      <c r="C133" s="45">
        <f>ROW()-ROW(Prüfkriterien_849[[#Headers],[Spalte3]])</f>
        <v>4</v>
      </c>
      <c r="D133" s="45">
        <f>(Prüfkriterien_849[Spalte2]+80)/10</f>
        <v>8.4</v>
      </c>
      <c r="E133" s="31"/>
      <c r="F133" s="32"/>
      <c r="G133" s="32"/>
      <c r="H133" s="70"/>
      <c r="I133" s="70"/>
      <c r="J133" s="70"/>
      <c r="K133" s="70"/>
      <c r="L133" s="70"/>
      <c r="M133" s="49"/>
    </row>
    <row r="134" spans="2:13" s="47" customFormat="1" hidden="1" x14ac:dyDescent="0.25">
      <c r="B134" s="56" t="str">
        <f>CONCATENATE("8.",Prüfkriterien_849[[#This Row],[Spalte2]])</f>
        <v>8.5</v>
      </c>
      <c r="C134" s="57">
        <f>ROW()-ROW(Prüfkriterien_849[[#Headers],[Spalte3]])</f>
        <v>5</v>
      </c>
      <c r="D134" s="57">
        <f>(Prüfkriterien_849[Spalte2]+80)/10</f>
        <v>8.5</v>
      </c>
      <c r="E134" s="58"/>
      <c r="F134" s="59"/>
      <c r="G134" s="59"/>
      <c r="H134" s="70"/>
      <c r="I134" s="70"/>
      <c r="J134" s="70"/>
      <c r="K134" s="70"/>
      <c r="L134" s="70"/>
      <c r="M134" s="87"/>
    </row>
    <row r="135" spans="2:13" hidden="1" x14ac:dyDescent="0.25">
      <c r="B135" s="173" t="s">
        <v>70</v>
      </c>
      <c r="C135" s="174"/>
      <c r="D135" s="174"/>
      <c r="E135" s="174"/>
      <c r="F135" s="174"/>
      <c r="G135" s="174"/>
      <c r="H135" s="174"/>
      <c r="I135" s="174"/>
      <c r="J135" s="174"/>
      <c r="K135" s="174"/>
      <c r="L135" s="174"/>
      <c r="M135" s="175"/>
    </row>
    <row r="136" spans="2:13" s="47" customFormat="1" hidden="1" x14ac:dyDescent="0.25">
      <c r="B136" s="44" t="s">
        <v>39</v>
      </c>
      <c r="C136" s="45" t="s">
        <v>40</v>
      </c>
      <c r="D136" s="45" t="s">
        <v>41</v>
      </c>
      <c r="E136" s="31" t="s">
        <v>42</v>
      </c>
      <c r="F136" s="32" t="s">
        <v>43</v>
      </c>
      <c r="G136" s="32" t="s">
        <v>46</v>
      </c>
      <c r="H136" s="33" t="s">
        <v>47</v>
      </c>
      <c r="I136" s="33" t="s">
        <v>48</v>
      </c>
      <c r="J136" s="33" t="s">
        <v>49</v>
      </c>
      <c r="K136" s="33" t="s">
        <v>50</v>
      </c>
      <c r="L136" s="33" t="s">
        <v>51</v>
      </c>
      <c r="M136" s="34" t="s">
        <v>52</v>
      </c>
    </row>
    <row r="137" spans="2:13" s="47" customFormat="1" hidden="1" x14ac:dyDescent="0.25">
      <c r="B137" s="44" t="str">
        <f>CONCATENATE("9.",Prüfkriterien_950[[#This Row],[Spalte2]])</f>
        <v>9.1</v>
      </c>
      <c r="C137" s="45">
        <f>ROW()-ROW(Prüfkriterien_950[[#Headers],[Spalte3]])</f>
        <v>1</v>
      </c>
      <c r="D137" s="45">
        <f>(Prüfkriterien_950[Spalte2]+90)/10</f>
        <v>9.1</v>
      </c>
      <c r="E137" s="31"/>
      <c r="F137" s="32"/>
      <c r="G137" s="32"/>
      <c r="H137" s="70"/>
      <c r="I137" s="70"/>
      <c r="J137" s="70"/>
      <c r="K137" s="70"/>
      <c r="L137" s="70"/>
      <c r="M137" s="49"/>
    </row>
    <row r="138" spans="2:13" s="47" customFormat="1" hidden="1" x14ac:dyDescent="0.25">
      <c r="B138" s="56" t="str">
        <f>CONCATENATE("9.",Prüfkriterien_950[[#This Row],[Spalte2]])</f>
        <v>9.2</v>
      </c>
      <c r="C138" s="57">
        <f>ROW()-ROW(Prüfkriterien_950[[#Headers],[Spalte3]])</f>
        <v>2</v>
      </c>
      <c r="D138" s="57">
        <f>(Prüfkriterien_950[Spalte2]+90)/10</f>
        <v>9.1999999999999993</v>
      </c>
      <c r="E138" s="58"/>
      <c r="F138" s="59"/>
      <c r="G138" s="59"/>
      <c r="H138" s="70"/>
      <c r="I138" s="70"/>
      <c r="J138" s="70"/>
      <c r="K138" s="70"/>
      <c r="L138" s="70"/>
      <c r="M138" s="87"/>
    </row>
    <row r="139" spans="2:13" s="47" customFormat="1" hidden="1" x14ac:dyDescent="0.25">
      <c r="B139" s="44" t="str">
        <f>CONCATENATE("9.",Prüfkriterien_950[[#This Row],[Spalte2]])</f>
        <v>9.3</v>
      </c>
      <c r="C139" s="45">
        <f>ROW()-ROW(Prüfkriterien_950[[#Headers],[Spalte3]])</f>
        <v>3</v>
      </c>
      <c r="D139" s="45">
        <f>(Prüfkriterien_950[Spalte2]+90)/10</f>
        <v>9.3000000000000007</v>
      </c>
      <c r="E139" s="31"/>
      <c r="F139" s="32"/>
      <c r="G139" s="32"/>
      <c r="H139" s="70"/>
      <c r="I139" s="70"/>
      <c r="J139" s="70"/>
      <c r="K139" s="70"/>
      <c r="L139" s="70"/>
      <c r="M139" s="49"/>
    </row>
    <row r="140" spans="2:13" s="47" customFormat="1" hidden="1" x14ac:dyDescent="0.25">
      <c r="B140" s="44" t="str">
        <f>CONCATENATE("9.",Prüfkriterien_950[[#This Row],[Spalte2]])</f>
        <v>9.4</v>
      </c>
      <c r="C140" s="45">
        <f>ROW()-ROW(Prüfkriterien_950[[#Headers],[Spalte3]])</f>
        <v>4</v>
      </c>
      <c r="D140" s="45">
        <f>(Prüfkriterien_950[Spalte2]+90)/10</f>
        <v>9.4</v>
      </c>
      <c r="E140" s="31"/>
      <c r="F140" s="32"/>
      <c r="G140" s="32"/>
      <c r="H140" s="70"/>
      <c r="I140" s="70"/>
      <c r="J140" s="70"/>
      <c r="K140" s="70"/>
      <c r="L140" s="70"/>
      <c r="M140" s="49"/>
    </row>
    <row r="141" spans="2:13" s="47" customFormat="1" hidden="1" x14ac:dyDescent="0.25">
      <c r="B141" s="56" t="str">
        <f>CONCATENATE("9.",Prüfkriterien_950[[#This Row],[Spalte2]])</f>
        <v>9.5</v>
      </c>
      <c r="C141" s="57">
        <f>ROW()-ROW(Prüfkriterien_950[[#Headers],[Spalte3]])</f>
        <v>5</v>
      </c>
      <c r="D141" s="57">
        <f>(Prüfkriterien_950[Spalte2]+90)/10</f>
        <v>9.5</v>
      </c>
      <c r="E141" s="58"/>
      <c r="F141" s="59"/>
      <c r="G141" s="59"/>
      <c r="H141" s="70"/>
      <c r="I141" s="70"/>
      <c r="J141" s="70"/>
      <c r="K141" s="70"/>
      <c r="L141" s="70"/>
      <c r="M141" s="87"/>
    </row>
    <row r="142" spans="2:13" hidden="1" x14ac:dyDescent="0.25">
      <c r="B142" s="173" t="s">
        <v>71</v>
      </c>
      <c r="C142" s="174"/>
      <c r="D142" s="174"/>
      <c r="E142" s="174"/>
      <c r="F142" s="174"/>
      <c r="G142" s="174"/>
      <c r="H142" s="174"/>
      <c r="I142" s="174"/>
      <c r="J142" s="174"/>
      <c r="K142" s="174"/>
      <c r="L142" s="174"/>
      <c r="M142" s="175"/>
    </row>
    <row r="143" spans="2:13" s="47" customFormat="1" hidden="1" x14ac:dyDescent="0.25">
      <c r="B143" s="44" t="s">
        <v>39</v>
      </c>
      <c r="C143" s="45" t="s">
        <v>40</v>
      </c>
      <c r="D143" s="45" t="s">
        <v>41</v>
      </c>
      <c r="E143" s="31" t="s">
        <v>42</v>
      </c>
      <c r="F143" s="32" t="s">
        <v>43</v>
      </c>
      <c r="G143" s="32" t="s">
        <v>46</v>
      </c>
      <c r="H143" s="33" t="s">
        <v>47</v>
      </c>
      <c r="I143" s="33" t="s">
        <v>48</v>
      </c>
      <c r="J143" s="33" t="s">
        <v>49</v>
      </c>
      <c r="K143" s="33" t="s">
        <v>50</v>
      </c>
      <c r="L143" s="33" t="s">
        <v>51</v>
      </c>
      <c r="M143" s="34" t="s">
        <v>52</v>
      </c>
    </row>
    <row r="144" spans="2:13" s="47" customFormat="1" hidden="1" x14ac:dyDescent="0.25">
      <c r="B144" s="44" t="str">
        <f>CONCATENATE("10.",Prüfkriterien_1051[[#This Row],[Spalte2]])</f>
        <v>10.1</v>
      </c>
      <c r="C144" s="45">
        <f>ROW()-ROW(Prüfkriterien_1051[[#Headers],[Spalte3]])</f>
        <v>1</v>
      </c>
      <c r="D144" s="45">
        <f>(Prüfkriterien_1051[Spalte2]+100)/10</f>
        <v>10.1</v>
      </c>
      <c r="E144" s="31"/>
      <c r="F144" s="32"/>
      <c r="G144" s="32"/>
      <c r="H144" s="70"/>
      <c r="I144" s="70"/>
      <c r="J144" s="70"/>
      <c r="K144" s="70"/>
      <c r="L144" s="70"/>
      <c r="M144" s="49"/>
    </row>
    <row r="145" spans="2:13" s="47" customFormat="1" hidden="1" x14ac:dyDescent="0.25">
      <c r="B145" s="56" t="str">
        <f>CONCATENATE("10.",Prüfkriterien_1051[[#This Row],[Spalte2]])</f>
        <v>10.2</v>
      </c>
      <c r="C145" s="57">
        <f>ROW()-ROW(Prüfkriterien_1051[[#Headers],[Spalte3]])</f>
        <v>2</v>
      </c>
      <c r="D145" s="57">
        <f>(Prüfkriterien_1051[Spalte2]+100)/10</f>
        <v>10.199999999999999</v>
      </c>
      <c r="E145" s="58"/>
      <c r="F145" s="59"/>
      <c r="G145" s="59"/>
      <c r="H145" s="70"/>
      <c r="I145" s="70"/>
      <c r="J145" s="70"/>
      <c r="K145" s="70"/>
      <c r="L145" s="70"/>
      <c r="M145" s="87"/>
    </row>
    <row r="146" spans="2:13" s="47" customFormat="1" hidden="1" x14ac:dyDescent="0.25">
      <c r="B146" s="44" t="str">
        <f>CONCATENATE("10.",Prüfkriterien_1051[[#This Row],[Spalte2]])</f>
        <v>10.3</v>
      </c>
      <c r="C146" s="45">
        <f>ROW()-ROW(Prüfkriterien_1051[[#Headers],[Spalte3]])</f>
        <v>3</v>
      </c>
      <c r="D146" s="45">
        <f>(Prüfkriterien_1051[Spalte2]+100)/10</f>
        <v>10.3</v>
      </c>
      <c r="E146" s="31"/>
      <c r="F146" s="32"/>
      <c r="G146" s="32"/>
      <c r="H146" s="70"/>
      <c r="I146" s="70"/>
      <c r="J146" s="70"/>
      <c r="K146" s="70"/>
      <c r="L146" s="70"/>
      <c r="M146" s="49"/>
    </row>
    <row r="147" spans="2:13" s="47" customFormat="1" hidden="1" x14ac:dyDescent="0.25">
      <c r="B147" s="44" t="str">
        <f>CONCATENATE("10.",Prüfkriterien_1051[[#This Row],[Spalte2]])</f>
        <v>10.4</v>
      </c>
      <c r="C147" s="45">
        <f>ROW()-ROW(Prüfkriterien_1051[[#Headers],[Spalte3]])</f>
        <v>4</v>
      </c>
      <c r="D147" s="45">
        <f>(Prüfkriterien_1051[Spalte2]+100)/10</f>
        <v>10.4</v>
      </c>
      <c r="E147" s="31"/>
      <c r="F147" s="32"/>
      <c r="G147" s="32"/>
      <c r="H147" s="70"/>
      <c r="I147" s="70"/>
      <c r="J147" s="70"/>
      <c r="K147" s="70"/>
      <c r="L147" s="70"/>
      <c r="M147" s="49"/>
    </row>
    <row r="148" spans="2:13" s="47" customFormat="1" hidden="1" x14ac:dyDescent="0.25">
      <c r="B148" s="56" t="str">
        <f>CONCATENATE("10.",Prüfkriterien_1051[[#This Row],[Spalte2]])</f>
        <v>10.5</v>
      </c>
      <c r="C148" s="57">
        <f>ROW()-ROW(Prüfkriterien_1051[[#Headers],[Spalte3]])</f>
        <v>5</v>
      </c>
      <c r="D148" s="57">
        <f>(Prüfkriterien_1051[Spalte2]+100)/10</f>
        <v>10.5</v>
      </c>
      <c r="E148" s="58"/>
      <c r="F148" s="59"/>
      <c r="G148" s="59"/>
      <c r="H148" s="70"/>
      <c r="I148" s="70"/>
      <c r="J148" s="70"/>
      <c r="K148" s="70"/>
      <c r="L148" s="70"/>
      <c r="M148" s="87"/>
    </row>
    <row r="149" spans="2:13" hidden="1" x14ac:dyDescent="0.25">
      <c r="B149" s="173" t="s">
        <v>72</v>
      </c>
      <c r="C149" s="174"/>
      <c r="D149" s="174"/>
      <c r="E149" s="174"/>
      <c r="F149" s="174"/>
      <c r="G149" s="174"/>
      <c r="H149" s="174"/>
      <c r="I149" s="174"/>
      <c r="J149" s="174"/>
      <c r="K149" s="174"/>
      <c r="L149" s="174"/>
      <c r="M149" s="175"/>
    </row>
    <row r="150" spans="2:13" s="47" customFormat="1" hidden="1" x14ac:dyDescent="0.25">
      <c r="B150" s="44" t="s">
        <v>39</v>
      </c>
      <c r="C150" s="45" t="s">
        <v>40</v>
      </c>
      <c r="D150" s="45" t="s">
        <v>41</v>
      </c>
      <c r="E150" s="31" t="s">
        <v>42</v>
      </c>
      <c r="F150" s="32" t="s">
        <v>43</v>
      </c>
      <c r="G150" s="32" t="s">
        <v>46</v>
      </c>
      <c r="H150" s="33" t="s">
        <v>47</v>
      </c>
      <c r="I150" s="33" t="s">
        <v>48</v>
      </c>
      <c r="J150" s="33" t="s">
        <v>49</v>
      </c>
      <c r="K150" s="33" t="s">
        <v>50</v>
      </c>
      <c r="L150" s="33" t="s">
        <v>51</v>
      </c>
      <c r="M150" s="34" t="s">
        <v>52</v>
      </c>
    </row>
    <row r="151" spans="2:13" s="47" customFormat="1" hidden="1" x14ac:dyDescent="0.25">
      <c r="B151" s="44" t="str">
        <f>CONCATENATE("11.",Prüfkriterien_1152[[#This Row],[Spalte2]])</f>
        <v>11.1</v>
      </c>
      <c r="C151" s="45">
        <f>ROW()-ROW(Prüfkriterien_1152[[#Headers],[Spalte3]])</f>
        <v>1</v>
      </c>
      <c r="D151" s="45">
        <f>(Prüfkriterien_1152[Spalte2]+110)/10</f>
        <v>11.1</v>
      </c>
      <c r="E151" s="31"/>
      <c r="F151" s="32"/>
      <c r="G151" s="32"/>
      <c r="H151" s="70"/>
      <c r="I151" s="70"/>
      <c r="J151" s="70"/>
      <c r="K151" s="70"/>
      <c r="L151" s="70"/>
      <c r="M151" s="49"/>
    </row>
    <row r="152" spans="2:13" s="47" customFormat="1" hidden="1" x14ac:dyDescent="0.25">
      <c r="B152" s="56" t="str">
        <f>CONCATENATE("11.",Prüfkriterien_1152[[#This Row],[Spalte2]])</f>
        <v>11.2</v>
      </c>
      <c r="C152" s="57">
        <f>ROW()-ROW(Prüfkriterien_1152[[#Headers],[Spalte3]])</f>
        <v>2</v>
      </c>
      <c r="D152" s="57">
        <f>(Prüfkriterien_1152[Spalte2]+110)/10</f>
        <v>11.2</v>
      </c>
      <c r="E152" s="58"/>
      <c r="F152" s="59"/>
      <c r="G152" s="59"/>
      <c r="H152" s="70"/>
      <c r="I152" s="70"/>
      <c r="J152" s="70"/>
      <c r="K152" s="70"/>
      <c r="L152" s="70"/>
      <c r="M152" s="87"/>
    </row>
    <row r="153" spans="2:13" s="47" customFormat="1" hidden="1" x14ac:dyDescent="0.25">
      <c r="B153" s="44" t="str">
        <f>CONCATENATE("11.",Prüfkriterien_1152[[#This Row],[Spalte2]])</f>
        <v>11.3</v>
      </c>
      <c r="C153" s="45">
        <f>ROW()-ROW(Prüfkriterien_1152[[#Headers],[Spalte3]])</f>
        <v>3</v>
      </c>
      <c r="D153" s="45">
        <f>(Prüfkriterien_1152[Spalte2]+110)/10</f>
        <v>11.3</v>
      </c>
      <c r="E153" s="31"/>
      <c r="F153" s="32"/>
      <c r="G153" s="32"/>
      <c r="H153" s="70"/>
      <c r="I153" s="70"/>
      <c r="J153" s="70"/>
      <c r="K153" s="70"/>
      <c r="L153" s="70"/>
      <c r="M153" s="49"/>
    </row>
    <row r="154" spans="2:13" s="47" customFormat="1" hidden="1" x14ac:dyDescent="0.25">
      <c r="B154" s="44" t="str">
        <f>CONCATENATE("11.",Prüfkriterien_1152[[#This Row],[Spalte2]])</f>
        <v>11.4</v>
      </c>
      <c r="C154" s="45">
        <f>ROW()-ROW(Prüfkriterien_1152[[#Headers],[Spalte3]])</f>
        <v>4</v>
      </c>
      <c r="D154" s="45">
        <f>(Prüfkriterien_1152[Spalte2]+110)/10</f>
        <v>11.4</v>
      </c>
      <c r="E154" s="31"/>
      <c r="F154" s="32"/>
      <c r="G154" s="32"/>
      <c r="H154" s="70"/>
      <c r="I154" s="70"/>
      <c r="J154" s="70"/>
      <c r="K154" s="70"/>
      <c r="L154" s="70"/>
      <c r="M154" s="49"/>
    </row>
    <row r="155" spans="2:13" s="47" customFormat="1" hidden="1" x14ac:dyDescent="0.25">
      <c r="B155" s="56" t="str">
        <f>CONCATENATE("11.",Prüfkriterien_1152[[#This Row],[Spalte2]])</f>
        <v>11.5</v>
      </c>
      <c r="C155" s="57">
        <f>ROW()-ROW(Prüfkriterien_1152[[#Headers],[Spalte3]])</f>
        <v>5</v>
      </c>
      <c r="D155" s="57">
        <f>(Prüfkriterien_1152[Spalte2]+110)/10</f>
        <v>11.5</v>
      </c>
      <c r="E155" s="58"/>
      <c r="F155" s="59"/>
      <c r="G155" s="59"/>
      <c r="H155" s="70"/>
      <c r="I155" s="70"/>
      <c r="J155" s="70"/>
      <c r="K155" s="70"/>
      <c r="L155" s="70"/>
      <c r="M155" s="87"/>
    </row>
    <row r="156" spans="2:13" hidden="1" x14ac:dyDescent="0.25">
      <c r="B156" s="173" t="s">
        <v>88</v>
      </c>
      <c r="C156" s="174"/>
      <c r="D156" s="174"/>
      <c r="E156" s="174"/>
      <c r="F156" s="174"/>
      <c r="G156" s="174"/>
      <c r="H156" s="174"/>
      <c r="I156" s="174"/>
      <c r="J156" s="174"/>
      <c r="K156" s="174"/>
      <c r="L156" s="174"/>
      <c r="M156" s="175"/>
    </row>
    <row r="157" spans="2:13" hidden="1" x14ac:dyDescent="0.25">
      <c r="B157" s="44" t="s">
        <v>39</v>
      </c>
      <c r="C157" s="45" t="s">
        <v>40</v>
      </c>
      <c r="D157" s="45" t="s">
        <v>41</v>
      </c>
      <c r="E157" s="31" t="s">
        <v>42</v>
      </c>
      <c r="F157" s="32" t="s">
        <v>43</v>
      </c>
      <c r="G157" s="32" t="s">
        <v>46</v>
      </c>
      <c r="H157" s="33" t="s">
        <v>47</v>
      </c>
      <c r="I157" s="33" t="s">
        <v>48</v>
      </c>
      <c r="J157" s="33" t="s">
        <v>49</v>
      </c>
      <c r="K157" s="33" t="s">
        <v>50</v>
      </c>
      <c r="L157" s="33" t="s">
        <v>51</v>
      </c>
      <c r="M157" s="34" t="s">
        <v>52</v>
      </c>
    </row>
    <row r="158" spans="2:13" hidden="1" x14ac:dyDescent="0.25">
      <c r="B158" s="44" t="str">
        <f>CONCATENATE("12.",Prüfkriterien_111353[[#This Row],[Spalte2]])</f>
        <v>12.1</v>
      </c>
      <c r="C158" s="45">
        <f>ROW()-ROW(Prüfkriterien_111353[[#Headers],[Spalte3]])</f>
        <v>1</v>
      </c>
      <c r="D158" s="45">
        <f>(Prüfkriterien_111353[Spalte2]+120)/10</f>
        <v>12.1</v>
      </c>
      <c r="E158" s="31"/>
      <c r="F158" s="32"/>
      <c r="G158" s="32"/>
      <c r="H158" s="70"/>
      <c r="I158" s="70"/>
      <c r="J158" s="70"/>
      <c r="K158" s="70"/>
      <c r="L158" s="70"/>
      <c r="M158" s="49"/>
    </row>
    <row r="159" spans="2:13" hidden="1" x14ac:dyDescent="0.25">
      <c r="B159" s="56" t="str">
        <f>CONCATENATE("12.",Prüfkriterien_111353[[#This Row],[Spalte2]])</f>
        <v>12.2</v>
      </c>
      <c r="C159" s="57">
        <f>ROW()-ROW(Prüfkriterien_111353[[#Headers],[Spalte3]])</f>
        <v>2</v>
      </c>
      <c r="D159" s="57">
        <f>(Prüfkriterien_111353[Spalte2]+120)/10</f>
        <v>12.2</v>
      </c>
      <c r="E159" s="58"/>
      <c r="F159" s="59"/>
      <c r="G159" s="59"/>
      <c r="H159" s="70"/>
      <c r="I159" s="70"/>
      <c r="J159" s="70"/>
      <c r="K159" s="70"/>
      <c r="L159" s="70"/>
      <c r="M159" s="87"/>
    </row>
    <row r="160" spans="2:13" hidden="1" x14ac:dyDescent="0.25">
      <c r="B160" s="44" t="str">
        <f>CONCATENATE("12.",Prüfkriterien_111353[[#This Row],[Spalte2]])</f>
        <v>12.3</v>
      </c>
      <c r="C160" s="45">
        <f>ROW()-ROW(Prüfkriterien_111353[[#Headers],[Spalte3]])</f>
        <v>3</v>
      </c>
      <c r="D160" s="45">
        <f>(Prüfkriterien_111353[Spalte2]+120)/10</f>
        <v>12.3</v>
      </c>
      <c r="E160" s="31"/>
      <c r="F160" s="32"/>
      <c r="G160" s="32"/>
      <c r="H160" s="70"/>
      <c r="I160" s="70"/>
      <c r="J160" s="70"/>
      <c r="K160" s="70"/>
      <c r="L160" s="70"/>
      <c r="M160" s="49"/>
    </row>
    <row r="161" spans="2:13" hidden="1" x14ac:dyDescent="0.25">
      <c r="B161" s="44" t="str">
        <f>CONCATENATE("12.",Prüfkriterien_111353[[#This Row],[Spalte2]])</f>
        <v>12.4</v>
      </c>
      <c r="C161" s="45">
        <f>ROW()-ROW(Prüfkriterien_111353[[#Headers],[Spalte3]])</f>
        <v>4</v>
      </c>
      <c r="D161" s="45">
        <f>(Prüfkriterien_111353[Spalte2]+120)/10</f>
        <v>12.4</v>
      </c>
      <c r="E161" s="31"/>
      <c r="F161" s="32"/>
      <c r="G161" s="32"/>
      <c r="H161" s="70"/>
      <c r="I161" s="70"/>
      <c r="J161" s="70"/>
      <c r="K161" s="70"/>
      <c r="L161" s="70"/>
      <c r="M161" s="49"/>
    </row>
    <row r="162" spans="2:13" hidden="1" x14ac:dyDescent="0.25">
      <c r="B162" s="56" t="str">
        <f>CONCATENATE("12.",Prüfkriterien_111353[[#This Row],[Spalte2]])</f>
        <v>12.5</v>
      </c>
      <c r="C162" s="57">
        <f>ROW()-ROW(Prüfkriterien_111353[[#Headers],[Spalte3]])</f>
        <v>5</v>
      </c>
      <c r="D162" s="57">
        <f>(Prüfkriterien_111353[Spalte2]+120)/10</f>
        <v>12.5</v>
      </c>
      <c r="E162" s="58"/>
      <c r="F162" s="59"/>
      <c r="G162" s="59"/>
      <c r="H162" s="70"/>
      <c r="I162" s="70"/>
      <c r="J162" s="70"/>
      <c r="K162" s="70"/>
      <c r="L162" s="70"/>
      <c r="M162" s="87"/>
    </row>
    <row r="163" spans="2:13" hidden="1" x14ac:dyDescent="0.25">
      <c r="B163" s="173" t="s">
        <v>89</v>
      </c>
      <c r="C163" s="174"/>
      <c r="D163" s="174"/>
      <c r="E163" s="174"/>
      <c r="F163" s="174"/>
      <c r="G163" s="174"/>
      <c r="H163" s="174"/>
      <c r="I163" s="174"/>
      <c r="J163" s="174"/>
      <c r="K163" s="174"/>
      <c r="L163" s="174"/>
      <c r="M163" s="175"/>
    </row>
    <row r="164" spans="2:13" hidden="1" x14ac:dyDescent="0.25">
      <c r="B164" s="44" t="s">
        <v>39</v>
      </c>
      <c r="C164" s="45" t="s">
        <v>40</v>
      </c>
      <c r="D164" s="45" t="s">
        <v>41</v>
      </c>
      <c r="E164" s="31" t="s">
        <v>42</v>
      </c>
      <c r="F164" s="32" t="s">
        <v>43</v>
      </c>
      <c r="G164" s="32" t="s">
        <v>46</v>
      </c>
      <c r="H164" s="33" t="s">
        <v>47</v>
      </c>
      <c r="I164" s="33" t="s">
        <v>48</v>
      </c>
      <c r="J164" s="33" t="s">
        <v>49</v>
      </c>
      <c r="K164" s="33" t="s">
        <v>50</v>
      </c>
      <c r="L164" s="33" t="s">
        <v>51</v>
      </c>
      <c r="M164" s="34" t="s">
        <v>52</v>
      </c>
    </row>
    <row r="165" spans="2:13" hidden="1" x14ac:dyDescent="0.25">
      <c r="B165" s="44" t="str">
        <f>CONCATENATE("13.",Prüfkriterien_111454[[#This Row],[Spalte2]])</f>
        <v>13.1</v>
      </c>
      <c r="C165" s="45">
        <f>ROW()-ROW(Prüfkriterien_111454[[#Headers],[Spalte3]])</f>
        <v>1</v>
      </c>
      <c r="D165" s="45">
        <f>(Prüfkriterien_111454[Spalte2]+130)/10</f>
        <v>13.1</v>
      </c>
      <c r="E165" s="31"/>
      <c r="F165" s="32"/>
      <c r="G165" s="32"/>
      <c r="H165" s="70"/>
      <c r="I165" s="70"/>
      <c r="J165" s="70"/>
      <c r="K165" s="70"/>
      <c r="L165" s="70"/>
      <c r="M165" s="49"/>
    </row>
    <row r="166" spans="2:13" hidden="1" x14ac:dyDescent="0.25">
      <c r="B166" s="56" t="str">
        <f>CONCATENATE("13.",Prüfkriterien_111454[[#This Row],[Spalte2]])</f>
        <v>13.2</v>
      </c>
      <c r="C166" s="57">
        <f>ROW()-ROW(Prüfkriterien_111454[[#Headers],[Spalte3]])</f>
        <v>2</v>
      </c>
      <c r="D166" s="57">
        <f>(Prüfkriterien_111454[Spalte2]+130)/10</f>
        <v>13.2</v>
      </c>
      <c r="E166" s="58"/>
      <c r="F166" s="59"/>
      <c r="G166" s="59"/>
      <c r="H166" s="70"/>
      <c r="I166" s="70"/>
      <c r="J166" s="70"/>
      <c r="K166" s="70"/>
      <c r="L166" s="70"/>
      <c r="M166" s="87"/>
    </row>
    <row r="167" spans="2:13" hidden="1" x14ac:dyDescent="0.25">
      <c r="B167" s="44" t="str">
        <f>CONCATENATE("13.",Prüfkriterien_111454[[#This Row],[Spalte2]])</f>
        <v>13.3</v>
      </c>
      <c r="C167" s="45">
        <f>ROW()-ROW(Prüfkriterien_111454[[#Headers],[Spalte3]])</f>
        <v>3</v>
      </c>
      <c r="D167" s="45">
        <f>(Prüfkriterien_111454[Spalte2]+130)/10</f>
        <v>13.3</v>
      </c>
      <c r="E167" s="31"/>
      <c r="F167" s="32"/>
      <c r="G167" s="32"/>
      <c r="H167" s="70"/>
      <c r="I167" s="70"/>
      <c r="J167" s="70"/>
      <c r="K167" s="70"/>
      <c r="L167" s="70"/>
      <c r="M167" s="49"/>
    </row>
    <row r="168" spans="2:13" hidden="1" x14ac:dyDescent="0.25">
      <c r="B168" s="44" t="str">
        <f>CONCATENATE("13.",Prüfkriterien_111454[[#This Row],[Spalte2]])</f>
        <v>13.4</v>
      </c>
      <c r="C168" s="45">
        <f>ROW()-ROW(Prüfkriterien_111454[[#Headers],[Spalte3]])</f>
        <v>4</v>
      </c>
      <c r="D168" s="45">
        <f>(Prüfkriterien_111454[Spalte2]+130)/10</f>
        <v>13.4</v>
      </c>
      <c r="E168" s="31"/>
      <c r="F168" s="32"/>
      <c r="G168" s="32"/>
      <c r="H168" s="70"/>
      <c r="I168" s="70"/>
      <c r="J168" s="70"/>
      <c r="K168" s="70"/>
      <c r="L168" s="70"/>
      <c r="M168" s="49"/>
    </row>
    <row r="169" spans="2:13" hidden="1" x14ac:dyDescent="0.25">
      <c r="B169" s="56" t="str">
        <f>CONCATENATE("13.",Prüfkriterien_111454[[#This Row],[Spalte2]])</f>
        <v>13.5</v>
      </c>
      <c r="C169" s="57">
        <f>ROW()-ROW(Prüfkriterien_111454[[#Headers],[Spalte3]])</f>
        <v>5</v>
      </c>
      <c r="D169" s="57">
        <f>(Prüfkriterien_111454[Spalte2]+130)/10</f>
        <v>13.5</v>
      </c>
      <c r="E169" s="58"/>
      <c r="F169" s="59"/>
      <c r="G169" s="59"/>
      <c r="H169" s="70"/>
      <c r="I169" s="70"/>
      <c r="J169" s="70"/>
      <c r="K169" s="70"/>
      <c r="L169" s="70"/>
      <c r="M169" s="87"/>
    </row>
    <row r="170" spans="2:13" hidden="1" x14ac:dyDescent="0.25">
      <c r="B170" s="173" t="s">
        <v>90</v>
      </c>
      <c r="C170" s="174"/>
      <c r="D170" s="174"/>
      <c r="E170" s="174"/>
      <c r="F170" s="174"/>
      <c r="G170" s="174"/>
      <c r="H170" s="174"/>
      <c r="I170" s="174"/>
      <c r="J170" s="174"/>
      <c r="K170" s="174"/>
      <c r="L170" s="174"/>
      <c r="M170" s="175"/>
    </row>
    <row r="171" spans="2:13" hidden="1" x14ac:dyDescent="0.25">
      <c r="B171" s="44" t="s">
        <v>39</v>
      </c>
      <c r="C171" s="45" t="s">
        <v>40</v>
      </c>
      <c r="D171" s="45" t="s">
        <v>41</v>
      </c>
      <c r="E171" s="31" t="s">
        <v>42</v>
      </c>
      <c r="F171" s="32" t="s">
        <v>43</v>
      </c>
      <c r="G171" s="32" t="s">
        <v>46</v>
      </c>
      <c r="H171" s="33" t="s">
        <v>47</v>
      </c>
      <c r="I171" s="33" t="s">
        <v>48</v>
      </c>
      <c r="J171" s="33" t="s">
        <v>49</v>
      </c>
      <c r="K171" s="33" t="s">
        <v>50</v>
      </c>
      <c r="L171" s="33" t="s">
        <v>51</v>
      </c>
      <c r="M171" s="34" t="s">
        <v>52</v>
      </c>
    </row>
    <row r="172" spans="2:13" hidden="1" x14ac:dyDescent="0.25">
      <c r="B172" s="44" t="str">
        <f>CONCATENATE("14.",Prüfkriterien_111555[[#This Row],[Spalte2]])</f>
        <v>14.1</v>
      </c>
      <c r="C172" s="45">
        <f>ROW()-ROW(Prüfkriterien_111555[[#Headers],[Spalte3]])</f>
        <v>1</v>
      </c>
      <c r="D172" s="45">
        <f>(Prüfkriterien_111555[Spalte2]+140)/10</f>
        <v>14.1</v>
      </c>
      <c r="E172" s="31"/>
      <c r="F172" s="32"/>
      <c r="G172" s="32"/>
      <c r="H172" s="70"/>
      <c r="I172" s="70"/>
      <c r="J172" s="70"/>
      <c r="K172" s="70"/>
      <c r="L172" s="70"/>
      <c r="M172" s="49"/>
    </row>
    <row r="173" spans="2:13" hidden="1" x14ac:dyDescent="0.25">
      <c r="B173" s="56" t="str">
        <f>CONCATENATE("14.",Prüfkriterien_111555[[#This Row],[Spalte2]])</f>
        <v>14.2</v>
      </c>
      <c r="C173" s="57">
        <f>ROW()-ROW(Prüfkriterien_111555[[#Headers],[Spalte3]])</f>
        <v>2</v>
      </c>
      <c r="D173" s="57">
        <f>(Prüfkriterien_111555[Spalte2]+140)/10</f>
        <v>14.2</v>
      </c>
      <c r="E173" s="58"/>
      <c r="F173" s="59"/>
      <c r="G173" s="59"/>
      <c r="H173" s="70"/>
      <c r="I173" s="70"/>
      <c r="J173" s="70"/>
      <c r="K173" s="70"/>
      <c r="L173" s="70"/>
      <c r="M173" s="87"/>
    </row>
    <row r="174" spans="2:13" hidden="1" x14ac:dyDescent="0.25">
      <c r="B174" s="44" t="str">
        <f>CONCATENATE("14.",Prüfkriterien_111555[[#This Row],[Spalte2]])</f>
        <v>14.3</v>
      </c>
      <c r="C174" s="45">
        <f>ROW()-ROW(Prüfkriterien_111555[[#Headers],[Spalte3]])</f>
        <v>3</v>
      </c>
      <c r="D174" s="45">
        <f>(Prüfkriterien_111555[Spalte2]+140)/10</f>
        <v>14.3</v>
      </c>
      <c r="E174" s="31"/>
      <c r="F174" s="32"/>
      <c r="G174" s="32"/>
      <c r="H174" s="70"/>
      <c r="I174" s="70"/>
      <c r="J174" s="70"/>
      <c r="K174" s="70"/>
      <c r="L174" s="70"/>
      <c r="M174" s="49"/>
    </row>
    <row r="175" spans="2:13" hidden="1" x14ac:dyDescent="0.25">
      <c r="B175" s="44" t="str">
        <f>CONCATENATE("14.",Prüfkriterien_111555[[#This Row],[Spalte2]])</f>
        <v>14.4</v>
      </c>
      <c r="C175" s="45">
        <f>ROW()-ROW(Prüfkriterien_111555[[#Headers],[Spalte3]])</f>
        <v>4</v>
      </c>
      <c r="D175" s="45">
        <f>(Prüfkriterien_111555[Spalte2]+140)/10</f>
        <v>14.4</v>
      </c>
      <c r="E175" s="31"/>
      <c r="F175" s="32"/>
      <c r="G175" s="32"/>
      <c r="H175" s="70"/>
      <c r="I175" s="70"/>
      <c r="J175" s="70"/>
      <c r="K175" s="70"/>
      <c r="L175" s="70"/>
      <c r="M175" s="49"/>
    </row>
    <row r="176" spans="2:13" hidden="1" x14ac:dyDescent="0.25">
      <c r="B176" s="56" t="str">
        <f>CONCATENATE("14.",Prüfkriterien_111555[[#This Row],[Spalte2]])</f>
        <v>14.5</v>
      </c>
      <c r="C176" s="57">
        <f>ROW()-ROW(Prüfkriterien_111555[[#Headers],[Spalte3]])</f>
        <v>5</v>
      </c>
      <c r="D176" s="57">
        <f>(Prüfkriterien_111555[Spalte2]+140)/10</f>
        <v>14.5</v>
      </c>
      <c r="E176" s="58"/>
      <c r="F176" s="59"/>
      <c r="G176" s="59"/>
      <c r="H176" s="70"/>
      <c r="I176" s="70"/>
      <c r="J176" s="70"/>
      <c r="K176" s="70"/>
      <c r="L176" s="70"/>
      <c r="M176" s="87"/>
    </row>
    <row r="177" spans="2:13" hidden="1" x14ac:dyDescent="0.25">
      <c r="B177" s="173" t="s">
        <v>91</v>
      </c>
      <c r="C177" s="174"/>
      <c r="D177" s="174"/>
      <c r="E177" s="174"/>
      <c r="F177" s="174"/>
      <c r="G177" s="174"/>
      <c r="H177" s="174"/>
      <c r="I177" s="174"/>
      <c r="J177" s="174"/>
      <c r="K177" s="174"/>
      <c r="L177" s="174"/>
      <c r="M177" s="175"/>
    </row>
    <row r="178" spans="2:13" hidden="1" x14ac:dyDescent="0.25">
      <c r="B178" s="44" t="s">
        <v>39</v>
      </c>
      <c r="C178" s="45" t="s">
        <v>40</v>
      </c>
      <c r="D178" s="45" t="s">
        <v>41</v>
      </c>
      <c r="E178" s="31" t="s">
        <v>42</v>
      </c>
      <c r="F178" s="32" t="s">
        <v>43</v>
      </c>
      <c r="G178" s="32" t="s">
        <v>46</v>
      </c>
      <c r="H178" s="33" t="s">
        <v>47</v>
      </c>
      <c r="I178" s="33" t="s">
        <v>48</v>
      </c>
      <c r="J178" s="33" t="s">
        <v>49</v>
      </c>
      <c r="K178" s="33" t="s">
        <v>50</v>
      </c>
      <c r="L178" s="33" t="s">
        <v>51</v>
      </c>
      <c r="M178" s="34" t="s">
        <v>52</v>
      </c>
    </row>
    <row r="179" spans="2:13" hidden="1" x14ac:dyDescent="0.25">
      <c r="B179" s="44" t="str">
        <f>CONCATENATE("15.",Prüfkriterien_111656[[#This Row],[Spalte2]])</f>
        <v>15.1</v>
      </c>
      <c r="C179" s="45">
        <f>ROW()-ROW(Prüfkriterien_111656[[#Headers],[Spalte3]])</f>
        <v>1</v>
      </c>
      <c r="D179" s="45">
        <f>(Prüfkriterien_111656[Spalte2]+150)/10</f>
        <v>15.1</v>
      </c>
      <c r="E179" s="31"/>
      <c r="F179" s="32"/>
      <c r="G179" s="32"/>
      <c r="H179" s="70"/>
      <c r="I179" s="70"/>
      <c r="J179" s="70"/>
      <c r="K179" s="70"/>
      <c r="L179" s="70"/>
      <c r="M179" s="49"/>
    </row>
    <row r="180" spans="2:13" hidden="1" x14ac:dyDescent="0.25">
      <c r="B180" s="56" t="str">
        <f>CONCATENATE("15.",Prüfkriterien_111656[[#This Row],[Spalte2]])</f>
        <v>15.2</v>
      </c>
      <c r="C180" s="57">
        <f>ROW()-ROW(Prüfkriterien_111656[[#Headers],[Spalte3]])</f>
        <v>2</v>
      </c>
      <c r="D180" s="57">
        <f>(Prüfkriterien_111656[Spalte2]+150)/10</f>
        <v>15.2</v>
      </c>
      <c r="E180" s="58"/>
      <c r="F180" s="59"/>
      <c r="G180" s="59"/>
      <c r="H180" s="70"/>
      <c r="I180" s="70"/>
      <c r="J180" s="70"/>
      <c r="K180" s="70"/>
      <c r="L180" s="70"/>
      <c r="M180" s="87"/>
    </row>
    <row r="181" spans="2:13" hidden="1" x14ac:dyDescent="0.25">
      <c r="B181" s="44" t="str">
        <f>CONCATENATE("15.",Prüfkriterien_111656[[#This Row],[Spalte2]])</f>
        <v>15.3</v>
      </c>
      <c r="C181" s="45">
        <f>ROW()-ROW(Prüfkriterien_111656[[#Headers],[Spalte3]])</f>
        <v>3</v>
      </c>
      <c r="D181" s="45">
        <f>(Prüfkriterien_111656[Spalte2]+150)/10</f>
        <v>15.3</v>
      </c>
      <c r="E181" s="31"/>
      <c r="F181" s="32"/>
      <c r="G181" s="32"/>
      <c r="H181" s="70"/>
      <c r="I181" s="70"/>
      <c r="J181" s="70"/>
      <c r="K181" s="70"/>
      <c r="L181" s="70"/>
      <c r="M181" s="49"/>
    </row>
    <row r="182" spans="2:13" hidden="1" x14ac:dyDescent="0.25">
      <c r="B182" s="44" t="str">
        <f>CONCATENATE("15.",Prüfkriterien_111656[[#This Row],[Spalte2]])</f>
        <v>15.4</v>
      </c>
      <c r="C182" s="45">
        <f>ROW()-ROW(Prüfkriterien_111656[[#Headers],[Spalte3]])</f>
        <v>4</v>
      </c>
      <c r="D182" s="45">
        <f>(Prüfkriterien_111656[Spalte2]+150)/10</f>
        <v>15.4</v>
      </c>
      <c r="E182" s="31"/>
      <c r="F182" s="32"/>
      <c r="G182" s="32"/>
      <c r="H182" s="70"/>
      <c r="I182" s="70"/>
      <c r="J182" s="70"/>
      <c r="K182" s="70"/>
      <c r="L182" s="70"/>
      <c r="M182" s="49"/>
    </row>
    <row r="183" spans="2:13" hidden="1" x14ac:dyDescent="0.25">
      <c r="B183" s="56" t="str">
        <f>CONCATENATE("15.",Prüfkriterien_111656[[#This Row],[Spalte2]])</f>
        <v>15.5</v>
      </c>
      <c r="C183" s="57">
        <f>ROW()-ROW(Prüfkriterien_111656[[#Headers],[Spalte3]])</f>
        <v>5</v>
      </c>
      <c r="D183" s="57">
        <f>(Prüfkriterien_111656[Spalte2]+150)/10</f>
        <v>15.5</v>
      </c>
      <c r="E183" s="58"/>
      <c r="F183" s="59"/>
      <c r="G183" s="59"/>
      <c r="H183" s="70"/>
      <c r="I183" s="70"/>
      <c r="J183" s="70"/>
      <c r="K183" s="70"/>
      <c r="L183" s="70"/>
      <c r="M183" s="87"/>
    </row>
    <row r="184" spans="2:13" hidden="1" x14ac:dyDescent="0.25">
      <c r="B184" s="173" t="s">
        <v>92</v>
      </c>
      <c r="C184" s="174"/>
      <c r="D184" s="174"/>
      <c r="E184" s="174"/>
      <c r="F184" s="174"/>
      <c r="G184" s="174"/>
      <c r="H184" s="174"/>
      <c r="I184" s="174"/>
      <c r="J184" s="174"/>
      <c r="K184" s="174"/>
      <c r="L184" s="174"/>
      <c r="M184" s="175"/>
    </row>
    <row r="185" spans="2:13" hidden="1" x14ac:dyDescent="0.25">
      <c r="B185" s="44" t="s">
        <v>39</v>
      </c>
      <c r="C185" s="45" t="s">
        <v>40</v>
      </c>
      <c r="D185" s="45" t="s">
        <v>41</v>
      </c>
      <c r="E185" s="31" t="s">
        <v>42</v>
      </c>
      <c r="F185" s="32" t="s">
        <v>43</v>
      </c>
      <c r="G185" s="32" t="s">
        <v>46</v>
      </c>
      <c r="H185" s="33" t="s">
        <v>47</v>
      </c>
      <c r="I185" s="33" t="s">
        <v>48</v>
      </c>
      <c r="J185" s="33" t="s">
        <v>49</v>
      </c>
      <c r="K185" s="33" t="s">
        <v>50</v>
      </c>
      <c r="L185" s="33" t="s">
        <v>51</v>
      </c>
      <c r="M185" s="34" t="s">
        <v>52</v>
      </c>
    </row>
    <row r="186" spans="2:13" hidden="1" x14ac:dyDescent="0.25">
      <c r="B186" s="44" t="str">
        <f>CONCATENATE("16.",Prüfkriterien_111757[[#This Row],[Spalte2]])</f>
        <v>16.1</v>
      </c>
      <c r="C186" s="45">
        <f>ROW()-ROW(Prüfkriterien_111757[[#Headers],[Spalte3]])</f>
        <v>1</v>
      </c>
      <c r="D186" s="45">
        <f>(Prüfkriterien_111757[Spalte2]+160)/10</f>
        <v>16.100000000000001</v>
      </c>
      <c r="E186" s="31"/>
      <c r="F186" s="32"/>
      <c r="G186" s="32"/>
      <c r="H186" s="70"/>
      <c r="I186" s="70"/>
      <c r="J186" s="70"/>
      <c r="K186" s="70"/>
      <c r="L186" s="70"/>
      <c r="M186" s="49"/>
    </row>
    <row r="187" spans="2:13" hidden="1" x14ac:dyDescent="0.25">
      <c r="B187" s="56" t="str">
        <f>CONCATENATE("16.",Prüfkriterien_111757[[#This Row],[Spalte2]])</f>
        <v>16.2</v>
      </c>
      <c r="C187" s="57">
        <f>ROW()-ROW(Prüfkriterien_111757[[#Headers],[Spalte3]])</f>
        <v>2</v>
      </c>
      <c r="D187" s="57">
        <f>(Prüfkriterien_111757[Spalte2]+160)/10</f>
        <v>16.2</v>
      </c>
      <c r="E187" s="58"/>
      <c r="F187" s="59"/>
      <c r="G187" s="59"/>
      <c r="H187" s="70"/>
      <c r="I187" s="70"/>
      <c r="J187" s="70"/>
      <c r="K187" s="70"/>
      <c r="L187" s="70"/>
      <c r="M187" s="87"/>
    </row>
    <row r="188" spans="2:13" hidden="1" x14ac:dyDescent="0.25">
      <c r="B188" s="44" t="str">
        <f>CONCATENATE("16.",Prüfkriterien_111757[[#This Row],[Spalte2]])</f>
        <v>16.3</v>
      </c>
      <c r="C188" s="45">
        <f>ROW()-ROW(Prüfkriterien_111757[[#Headers],[Spalte3]])</f>
        <v>3</v>
      </c>
      <c r="D188" s="45">
        <f>(Prüfkriterien_111757[Spalte2]+160)/10</f>
        <v>16.3</v>
      </c>
      <c r="E188" s="31"/>
      <c r="F188" s="32"/>
      <c r="G188" s="32"/>
      <c r="H188" s="70"/>
      <c r="I188" s="70"/>
      <c r="J188" s="70"/>
      <c r="K188" s="70"/>
      <c r="L188" s="70"/>
      <c r="M188" s="49"/>
    </row>
    <row r="189" spans="2:13" hidden="1" x14ac:dyDescent="0.25">
      <c r="B189" s="44" t="str">
        <f>CONCATENATE("16.",Prüfkriterien_111757[[#This Row],[Spalte2]])</f>
        <v>16.4</v>
      </c>
      <c r="C189" s="45">
        <f>ROW()-ROW(Prüfkriterien_111757[[#Headers],[Spalte3]])</f>
        <v>4</v>
      </c>
      <c r="D189" s="45">
        <f>(Prüfkriterien_111757[Spalte2]+160)/10</f>
        <v>16.399999999999999</v>
      </c>
      <c r="E189" s="31"/>
      <c r="F189" s="32"/>
      <c r="G189" s="32"/>
      <c r="H189" s="70"/>
      <c r="I189" s="70"/>
      <c r="J189" s="70"/>
      <c r="K189" s="70"/>
      <c r="L189" s="70"/>
      <c r="M189" s="49"/>
    </row>
    <row r="190" spans="2:13" hidden="1" x14ac:dyDescent="0.25">
      <c r="B190" s="56" t="str">
        <f>CONCATENATE("16.",Prüfkriterien_111757[[#This Row],[Spalte2]])</f>
        <v>16.5</v>
      </c>
      <c r="C190" s="57">
        <f>ROW()-ROW(Prüfkriterien_111757[[#Headers],[Spalte3]])</f>
        <v>5</v>
      </c>
      <c r="D190" s="57">
        <f>(Prüfkriterien_111757[Spalte2]+160)/10</f>
        <v>16.5</v>
      </c>
      <c r="E190" s="58"/>
      <c r="F190" s="59"/>
      <c r="G190" s="59"/>
      <c r="H190" s="70"/>
      <c r="I190" s="70"/>
      <c r="J190" s="70"/>
      <c r="K190" s="70"/>
      <c r="L190" s="70"/>
      <c r="M190" s="87"/>
    </row>
    <row r="191" spans="2:13" hidden="1" x14ac:dyDescent="0.25">
      <c r="B191" s="173" t="s">
        <v>93</v>
      </c>
      <c r="C191" s="174"/>
      <c r="D191" s="174"/>
      <c r="E191" s="174"/>
      <c r="F191" s="174"/>
      <c r="G191" s="174"/>
      <c r="H191" s="174"/>
      <c r="I191" s="174"/>
      <c r="J191" s="174"/>
      <c r="K191" s="174"/>
      <c r="L191" s="174"/>
      <c r="M191" s="175"/>
    </row>
    <row r="192" spans="2:13" hidden="1" x14ac:dyDescent="0.25">
      <c r="B192" s="44" t="s">
        <v>39</v>
      </c>
      <c r="C192" s="45" t="s">
        <v>40</v>
      </c>
      <c r="D192" s="45" t="s">
        <v>41</v>
      </c>
      <c r="E192" s="31" t="s">
        <v>42</v>
      </c>
      <c r="F192" s="32" t="s">
        <v>43</v>
      </c>
      <c r="G192" s="32" t="s">
        <v>46</v>
      </c>
      <c r="H192" s="33" t="s">
        <v>47</v>
      </c>
      <c r="I192" s="33" t="s">
        <v>48</v>
      </c>
      <c r="J192" s="33" t="s">
        <v>49</v>
      </c>
      <c r="K192" s="33" t="s">
        <v>50</v>
      </c>
      <c r="L192" s="33" t="s">
        <v>51</v>
      </c>
      <c r="M192" s="34" t="s">
        <v>52</v>
      </c>
    </row>
    <row r="193" spans="2:13" hidden="1" x14ac:dyDescent="0.25">
      <c r="B193" s="44" t="str">
        <f>CONCATENATE("17.",Prüfkriterien_111858[[#This Row],[Spalte2]])</f>
        <v>17.1</v>
      </c>
      <c r="C193" s="45">
        <f>ROW()-ROW(Prüfkriterien_111858[[#Headers],[Spalte3]])</f>
        <v>1</v>
      </c>
      <c r="D193" s="45">
        <f>(Prüfkriterien_111858[Spalte2]+170)/10</f>
        <v>17.100000000000001</v>
      </c>
      <c r="E193" s="31"/>
      <c r="F193" s="32"/>
      <c r="G193" s="32"/>
      <c r="H193" s="70"/>
      <c r="I193" s="70"/>
      <c r="J193" s="70"/>
      <c r="K193" s="70"/>
      <c r="L193" s="70"/>
      <c r="M193" s="49"/>
    </row>
    <row r="194" spans="2:13" hidden="1" x14ac:dyDescent="0.25">
      <c r="B194" s="56" t="str">
        <f>CONCATENATE("17.",Prüfkriterien_111858[[#This Row],[Spalte2]])</f>
        <v>17.2</v>
      </c>
      <c r="C194" s="57">
        <f>ROW()-ROW(Prüfkriterien_111858[[#Headers],[Spalte3]])</f>
        <v>2</v>
      </c>
      <c r="D194" s="57">
        <f>(Prüfkriterien_111858[Spalte2]+170)/10</f>
        <v>17.2</v>
      </c>
      <c r="E194" s="58"/>
      <c r="F194" s="59"/>
      <c r="G194" s="59"/>
      <c r="H194" s="70"/>
      <c r="I194" s="70"/>
      <c r="J194" s="70"/>
      <c r="K194" s="70"/>
      <c r="L194" s="70"/>
      <c r="M194" s="87"/>
    </row>
    <row r="195" spans="2:13" hidden="1" x14ac:dyDescent="0.25">
      <c r="B195" s="44" t="str">
        <f>CONCATENATE("17.",Prüfkriterien_111858[[#This Row],[Spalte2]])</f>
        <v>17.3</v>
      </c>
      <c r="C195" s="45">
        <f>ROW()-ROW(Prüfkriterien_111858[[#Headers],[Spalte3]])</f>
        <v>3</v>
      </c>
      <c r="D195" s="45">
        <f>(Prüfkriterien_111858[Spalte2]+170)/10</f>
        <v>17.3</v>
      </c>
      <c r="E195" s="31"/>
      <c r="F195" s="32"/>
      <c r="G195" s="32"/>
      <c r="H195" s="70"/>
      <c r="I195" s="70"/>
      <c r="J195" s="70"/>
      <c r="K195" s="70"/>
      <c r="L195" s="70"/>
      <c r="M195" s="49"/>
    </row>
    <row r="196" spans="2:13" hidden="1" x14ac:dyDescent="0.25">
      <c r="B196" s="44" t="str">
        <f>CONCATENATE("17.",Prüfkriterien_111858[[#This Row],[Spalte2]])</f>
        <v>17.4</v>
      </c>
      <c r="C196" s="45">
        <f>ROW()-ROW(Prüfkriterien_111858[[#Headers],[Spalte3]])</f>
        <v>4</v>
      </c>
      <c r="D196" s="45">
        <f>(Prüfkriterien_111858[Spalte2]+170)/10</f>
        <v>17.399999999999999</v>
      </c>
      <c r="E196" s="31"/>
      <c r="F196" s="32"/>
      <c r="G196" s="32"/>
      <c r="H196" s="70"/>
      <c r="I196" s="70"/>
      <c r="J196" s="70"/>
      <c r="K196" s="70"/>
      <c r="L196" s="70"/>
      <c r="M196" s="49"/>
    </row>
    <row r="197" spans="2:13" hidden="1" x14ac:dyDescent="0.25">
      <c r="B197" s="56" t="str">
        <f>CONCATENATE("17.",Prüfkriterien_111858[[#This Row],[Spalte2]])</f>
        <v>17.5</v>
      </c>
      <c r="C197" s="57">
        <f>ROW()-ROW(Prüfkriterien_111858[[#Headers],[Spalte3]])</f>
        <v>5</v>
      </c>
      <c r="D197" s="57">
        <f>(Prüfkriterien_111858[Spalte2]+170)/10</f>
        <v>17.5</v>
      </c>
      <c r="E197" s="58"/>
      <c r="F197" s="59"/>
      <c r="G197" s="59"/>
      <c r="H197" s="70"/>
      <c r="I197" s="70"/>
      <c r="J197" s="70"/>
      <c r="K197" s="70"/>
      <c r="L197" s="70"/>
      <c r="M197" s="87"/>
    </row>
    <row r="198" spans="2:13" hidden="1" x14ac:dyDescent="0.25">
      <c r="B198" s="173" t="s">
        <v>94</v>
      </c>
      <c r="C198" s="174"/>
      <c r="D198" s="174"/>
      <c r="E198" s="174"/>
      <c r="F198" s="174"/>
      <c r="G198" s="174"/>
      <c r="H198" s="174"/>
      <c r="I198" s="174"/>
      <c r="J198" s="174"/>
      <c r="K198" s="174"/>
      <c r="L198" s="174"/>
      <c r="M198" s="175"/>
    </row>
    <row r="199" spans="2:13" hidden="1" x14ac:dyDescent="0.25">
      <c r="B199" s="44" t="s">
        <v>39</v>
      </c>
      <c r="C199" s="45" t="s">
        <v>40</v>
      </c>
      <c r="D199" s="45" t="s">
        <v>41</v>
      </c>
      <c r="E199" s="31" t="s">
        <v>42</v>
      </c>
      <c r="F199" s="32" t="s">
        <v>43</v>
      </c>
      <c r="G199" s="32" t="s">
        <v>46</v>
      </c>
      <c r="H199" s="33" t="s">
        <v>47</v>
      </c>
      <c r="I199" s="33" t="s">
        <v>48</v>
      </c>
      <c r="J199" s="33" t="s">
        <v>49</v>
      </c>
      <c r="K199" s="33" t="s">
        <v>50</v>
      </c>
      <c r="L199" s="33" t="s">
        <v>51</v>
      </c>
      <c r="M199" s="34" t="s">
        <v>52</v>
      </c>
    </row>
    <row r="200" spans="2:13" hidden="1" x14ac:dyDescent="0.25">
      <c r="B200" s="44" t="str">
        <f>CONCATENATE("18.",Prüfkriterien_111959[[#This Row],[Spalte2]])</f>
        <v>18.1</v>
      </c>
      <c r="C200" s="45">
        <f>ROW()-ROW(Prüfkriterien_111959[[#Headers],[Spalte3]])</f>
        <v>1</v>
      </c>
      <c r="D200" s="45">
        <f>(Prüfkriterien_111959[Spalte2]+180)/10</f>
        <v>18.100000000000001</v>
      </c>
      <c r="E200" s="31"/>
      <c r="F200" s="32"/>
      <c r="G200" s="32"/>
      <c r="H200" s="70"/>
      <c r="I200" s="70"/>
      <c r="J200" s="70"/>
      <c r="K200" s="70"/>
      <c r="L200" s="70"/>
      <c r="M200" s="49"/>
    </row>
    <row r="201" spans="2:13" hidden="1" x14ac:dyDescent="0.25">
      <c r="B201" s="56" t="str">
        <f>CONCATENATE("18.",Prüfkriterien_111959[[#This Row],[Spalte2]])</f>
        <v>18.2</v>
      </c>
      <c r="C201" s="57">
        <f>ROW()-ROW(Prüfkriterien_111959[[#Headers],[Spalte3]])</f>
        <v>2</v>
      </c>
      <c r="D201" s="57">
        <f>(Prüfkriterien_111959[Spalte2]+180)/10</f>
        <v>18.2</v>
      </c>
      <c r="E201" s="58"/>
      <c r="F201" s="59"/>
      <c r="G201" s="59"/>
      <c r="H201" s="70"/>
      <c r="I201" s="70"/>
      <c r="J201" s="70"/>
      <c r="K201" s="70"/>
      <c r="L201" s="70"/>
      <c r="M201" s="87"/>
    </row>
    <row r="202" spans="2:13" hidden="1" x14ac:dyDescent="0.25">
      <c r="B202" s="44" t="str">
        <f>CONCATENATE("18.",Prüfkriterien_111959[[#This Row],[Spalte2]])</f>
        <v>18.3</v>
      </c>
      <c r="C202" s="45">
        <f>ROW()-ROW(Prüfkriterien_111959[[#Headers],[Spalte3]])</f>
        <v>3</v>
      </c>
      <c r="D202" s="45">
        <f>(Prüfkriterien_111959[Spalte2]+180)/10</f>
        <v>18.3</v>
      </c>
      <c r="E202" s="31"/>
      <c r="F202" s="32"/>
      <c r="G202" s="32"/>
      <c r="H202" s="70"/>
      <c r="I202" s="70"/>
      <c r="J202" s="70"/>
      <c r="K202" s="70"/>
      <c r="L202" s="70"/>
      <c r="M202" s="49"/>
    </row>
    <row r="203" spans="2:13" hidden="1" x14ac:dyDescent="0.25">
      <c r="B203" s="44" t="str">
        <f>CONCATENATE("18.",Prüfkriterien_111959[[#This Row],[Spalte2]])</f>
        <v>18.4</v>
      </c>
      <c r="C203" s="45">
        <f>ROW()-ROW(Prüfkriterien_111959[[#Headers],[Spalte3]])</f>
        <v>4</v>
      </c>
      <c r="D203" s="45">
        <f>(Prüfkriterien_111959[Spalte2]+180)/10</f>
        <v>18.399999999999999</v>
      </c>
      <c r="E203" s="31"/>
      <c r="F203" s="32"/>
      <c r="G203" s="32"/>
      <c r="H203" s="70"/>
      <c r="I203" s="70"/>
      <c r="J203" s="70"/>
      <c r="K203" s="70"/>
      <c r="L203" s="70"/>
      <c r="M203" s="49"/>
    </row>
    <row r="204" spans="2:13" hidden="1" x14ac:dyDescent="0.25">
      <c r="B204" s="56" t="str">
        <f>CONCATENATE("18.",Prüfkriterien_111959[[#This Row],[Spalte2]])</f>
        <v>18.5</v>
      </c>
      <c r="C204" s="57">
        <f>ROW()-ROW(Prüfkriterien_111959[[#Headers],[Spalte3]])</f>
        <v>5</v>
      </c>
      <c r="D204" s="57">
        <f>(Prüfkriterien_111959[Spalte2]+180)/10</f>
        <v>18.5</v>
      </c>
      <c r="E204" s="58"/>
      <c r="F204" s="59"/>
      <c r="G204" s="59"/>
      <c r="H204" s="70"/>
      <c r="I204" s="70"/>
      <c r="J204" s="70"/>
      <c r="K204" s="70"/>
      <c r="L204" s="70"/>
      <c r="M204" s="87"/>
    </row>
    <row r="205" spans="2:13" hidden="1" x14ac:dyDescent="0.25">
      <c r="B205" s="173" t="s">
        <v>95</v>
      </c>
      <c r="C205" s="174"/>
      <c r="D205" s="174"/>
      <c r="E205" s="174"/>
      <c r="F205" s="174"/>
      <c r="G205" s="174"/>
      <c r="H205" s="174"/>
      <c r="I205" s="174"/>
      <c r="J205" s="174"/>
      <c r="K205" s="174"/>
      <c r="L205" s="174"/>
      <c r="M205" s="175"/>
    </row>
    <row r="206" spans="2:13" hidden="1" x14ac:dyDescent="0.25">
      <c r="B206" s="44" t="s">
        <v>39</v>
      </c>
      <c r="C206" s="45" t="s">
        <v>40</v>
      </c>
      <c r="D206" s="45" t="s">
        <v>41</v>
      </c>
      <c r="E206" s="31" t="s">
        <v>42</v>
      </c>
      <c r="F206" s="32" t="s">
        <v>43</v>
      </c>
      <c r="G206" s="32" t="s">
        <v>46</v>
      </c>
      <c r="H206" s="33" t="s">
        <v>47</v>
      </c>
      <c r="I206" s="33" t="s">
        <v>48</v>
      </c>
      <c r="J206" s="33" t="s">
        <v>49</v>
      </c>
      <c r="K206" s="33" t="s">
        <v>50</v>
      </c>
      <c r="L206" s="33" t="s">
        <v>51</v>
      </c>
      <c r="M206" s="34" t="s">
        <v>52</v>
      </c>
    </row>
    <row r="207" spans="2:13" hidden="1" x14ac:dyDescent="0.25">
      <c r="B207" s="44" t="str">
        <f>CONCATENATE("19.",Prüfkriterien_112060[[#This Row],[Spalte2]])</f>
        <v>19.1</v>
      </c>
      <c r="C207" s="45">
        <f>ROW()-ROW(Prüfkriterien_112060[[#Headers],[Spalte3]])</f>
        <v>1</v>
      </c>
      <c r="D207" s="45">
        <f>(Prüfkriterien_112060[Spalte2]+190)/10</f>
        <v>19.100000000000001</v>
      </c>
      <c r="E207" s="31"/>
      <c r="F207" s="32"/>
      <c r="G207" s="32"/>
      <c r="H207" s="70"/>
      <c r="I207" s="70"/>
      <c r="J207" s="70"/>
      <c r="K207" s="70"/>
      <c r="L207" s="70"/>
      <c r="M207" s="49"/>
    </row>
    <row r="208" spans="2:13" hidden="1" x14ac:dyDescent="0.25">
      <c r="B208" s="56" t="str">
        <f>CONCATENATE("19.",Prüfkriterien_112060[[#This Row],[Spalte2]])</f>
        <v>19.2</v>
      </c>
      <c r="C208" s="57">
        <f>ROW()-ROW(Prüfkriterien_112060[[#Headers],[Spalte3]])</f>
        <v>2</v>
      </c>
      <c r="D208" s="57">
        <f>(Prüfkriterien_112060[Spalte2]+190)/10</f>
        <v>19.2</v>
      </c>
      <c r="E208" s="58"/>
      <c r="F208" s="59"/>
      <c r="G208" s="59"/>
      <c r="H208" s="70"/>
      <c r="I208" s="70"/>
      <c r="J208" s="70"/>
      <c r="K208" s="70"/>
      <c r="L208" s="70"/>
      <c r="M208" s="87"/>
    </row>
    <row r="209" spans="2:13" hidden="1" x14ac:dyDescent="0.25">
      <c r="B209" s="44" t="str">
        <f>CONCATENATE("19.",Prüfkriterien_112060[[#This Row],[Spalte2]])</f>
        <v>19.3</v>
      </c>
      <c r="C209" s="45">
        <f>ROW()-ROW(Prüfkriterien_112060[[#Headers],[Spalte3]])</f>
        <v>3</v>
      </c>
      <c r="D209" s="45">
        <f>(Prüfkriterien_112060[Spalte2]+190)/10</f>
        <v>19.3</v>
      </c>
      <c r="E209" s="31"/>
      <c r="F209" s="32"/>
      <c r="G209" s="32"/>
      <c r="H209" s="70"/>
      <c r="I209" s="70"/>
      <c r="J209" s="70"/>
      <c r="K209" s="70"/>
      <c r="L209" s="70"/>
      <c r="M209" s="49"/>
    </row>
    <row r="210" spans="2:13" hidden="1" x14ac:dyDescent="0.25">
      <c r="B210" s="44" t="str">
        <f>CONCATENATE("19.",Prüfkriterien_112060[[#This Row],[Spalte2]])</f>
        <v>19.4</v>
      </c>
      <c r="C210" s="45">
        <f>ROW()-ROW(Prüfkriterien_112060[[#Headers],[Spalte3]])</f>
        <v>4</v>
      </c>
      <c r="D210" s="45">
        <f>(Prüfkriterien_112060[Spalte2]+190)/10</f>
        <v>19.399999999999999</v>
      </c>
      <c r="E210" s="31"/>
      <c r="F210" s="32"/>
      <c r="G210" s="32"/>
      <c r="H210" s="70"/>
      <c r="I210" s="70"/>
      <c r="J210" s="70"/>
      <c r="K210" s="70"/>
      <c r="L210" s="70"/>
      <c r="M210" s="49"/>
    </row>
    <row r="211" spans="2:13" hidden="1" x14ac:dyDescent="0.25">
      <c r="B211" s="56" t="str">
        <f>CONCATENATE("19.",Prüfkriterien_112060[[#This Row],[Spalte2]])</f>
        <v>19.5</v>
      </c>
      <c r="C211" s="57">
        <f>ROW()-ROW(Prüfkriterien_112060[[#Headers],[Spalte3]])</f>
        <v>5</v>
      </c>
      <c r="D211" s="57">
        <f>(Prüfkriterien_112060[Spalte2]+190)/10</f>
        <v>19.5</v>
      </c>
      <c r="E211" s="58"/>
      <c r="F211" s="59"/>
      <c r="G211" s="59"/>
      <c r="H211" s="70"/>
      <c r="I211" s="70"/>
      <c r="J211" s="70"/>
      <c r="K211" s="70"/>
      <c r="L211" s="70"/>
      <c r="M211" s="87"/>
    </row>
    <row r="212" spans="2:13" hidden="1" x14ac:dyDescent="0.25">
      <c r="B212" s="173" t="s">
        <v>96</v>
      </c>
      <c r="C212" s="174"/>
      <c r="D212" s="174"/>
      <c r="E212" s="174"/>
      <c r="F212" s="174"/>
      <c r="G212" s="174"/>
      <c r="H212" s="174"/>
      <c r="I212" s="174"/>
      <c r="J212" s="174"/>
      <c r="K212" s="174"/>
      <c r="L212" s="174"/>
      <c r="M212" s="175"/>
    </row>
    <row r="213" spans="2:13" hidden="1" x14ac:dyDescent="0.25">
      <c r="B213" s="44" t="s">
        <v>39</v>
      </c>
      <c r="C213" s="45" t="s">
        <v>40</v>
      </c>
      <c r="D213" s="45" t="s">
        <v>41</v>
      </c>
      <c r="E213" s="31" t="s">
        <v>42</v>
      </c>
      <c r="F213" s="32" t="s">
        <v>43</v>
      </c>
      <c r="G213" s="32" t="s">
        <v>46</v>
      </c>
      <c r="H213" s="33" t="s">
        <v>47</v>
      </c>
      <c r="I213" s="33" t="s">
        <v>48</v>
      </c>
      <c r="J213" s="33" t="s">
        <v>49</v>
      </c>
      <c r="K213" s="33" t="s">
        <v>50</v>
      </c>
      <c r="L213" s="33" t="s">
        <v>51</v>
      </c>
      <c r="M213" s="34" t="s">
        <v>52</v>
      </c>
    </row>
    <row r="214" spans="2:13" hidden="1" x14ac:dyDescent="0.25">
      <c r="B214" s="44" t="str">
        <f>CONCATENATE("20.",Prüfkriterien_112161[[#This Row],[Spalte2]])</f>
        <v>20.1</v>
      </c>
      <c r="C214" s="45">
        <f>ROW()-ROW(Prüfkriterien_112161[[#Headers],[Spalte3]])</f>
        <v>1</v>
      </c>
      <c r="D214" s="45">
        <f>(Prüfkriterien_112161[Spalte2]+200)/10</f>
        <v>20.100000000000001</v>
      </c>
      <c r="E214" s="31"/>
      <c r="F214" s="32"/>
      <c r="G214" s="32"/>
      <c r="H214" s="70"/>
      <c r="I214" s="70"/>
      <c r="J214" s="70"/>
      <c r="K214" s="70"/>
      <c r="L214" s="70"/>
      <c r="M214" s="49"/>
    </row>
    <row r="215" spans="2:13" hidden="1" x14ac:dyDescent="0.25">
      <c r="B215" s="56" t="str">
        <f>CONCATENATE("20.",Prüfkriterien_112161[[#This Row],[Spalte2]])</f>
        <v>20.2</v>
      </c>
      <c r="C215" s="57">
        <f>ROW()-ROW(Prüfkriterien_112161[[#Headers],[Spalte3]])</f>
        <v>2</v>
      </c>
      <c r="D215" s="57">
        <f>(Prüfkriterien_112161[Spalte2]+200)/10</f>
        <v>20.2</v>
      </c>
      <c r="E215" s="58"/>
      <c r="F215" s="59"/>
      <c r="G215" s="59"/>
      <c r="H215" s="70"/>
      <c r="I215" s="70"/>
      <c r="J215" s="70"/>
      <c r="K215" s="70"/>
      <c r="L215" s="70"/>
      <c r="M215" s="87"/>
    </row>
    <row r="216" spans="2:13" hidden="1" x14ac:dyDescent="0.25">
      <c r="B216" s="44" t="str">
        <f>CONCATENATE("20.",Prüfkriterien_112161[[#This Row],[Spalte2]])</f>
        <v>20.3</v>
      </c>
      <c r="C216" s="45">
        <f>ROW()-ROW(Prüfkriterien_112161[[#Headers],[Spalte3]])</f>
        <v>3</v>
      </c>
      <c r="D216" s="45">
        <f>(Prüfkriterien_112161[Spalte2]+200)/10</f>
        <v>20.3</v>
      </c>
      <c r="E216" s="31"/>
      <c r="F216" s="32"/>
      <c r="G216" s="32"/>
      <c r="H216" s="70"/>
      <c r="I216" s="70"/>
      <c r="J216" s="70"/>
      <c r="K216" s="70"/>
      <c r="L216" s="70"/>
      <c r="M216" s="49"/>
    </row>
    <row r="217" spans="2:13" hidden="1" x14ac:dyDescent="0.25">
      <c r="B217" s="44" t="str">
        <f>CONCATENATE("20.",Prüfkriterien_112161[[#This Row],[Spalte2]])</f>
        <v>20.4</v>
      </c>
      <c r="C217" s="45">
        <f>ROW()-ROW(Prüfkriterien_112161[[#Headers],[Spalte3]])</f>
        <v>4</v>
      </c>
      <c r="D217" s="45">
        <f>(Prüfkriterien_112161[Spalte2]+200)/10</f>
        <v>20.399999999999999</v>
      </c>
      <c r="E217" s="31"/>
      <c r="F217" s="32"/>
      <c r="G217" s="32"/>
      <c r="H217" s="70"/>
      <c r="I217" s="70"/>
      <c r="J217" s="70"/>
      <c r="K217" s="70"/>
      <c r="L217" s="70"/>
      <c r="M217" s="49"/>
    </row>
    <row r="218" spans="2:13" hidden="1" x14ac:dyDescent="0.25">
      <c r="B218" s="56" t="str">
        <f>CONCATENATE("20.",Prüfkriterien_112161[[#This Row],[Spalte2]])</f>
        <v>20.5</v>
      </c>
      <c r="C218" s="57">
        <f>ROW()-ROW(Prüfkriterien_112161[[#Headers],[Spalte3]])</f>
        <v>5</v>
      </c>
      <c r="D218" s="57">
        <f>(Prüfkriterien_112161[Spalte2]+200)/10</f>
        <v>20.5</v>
      </c>
      <c r="E218" s="58"/>
      <c r="F218" s="59"/>
      <c r="G218" s="59"/>
      <c r="H218" s="70"/>
      <c r="I218" s="70"/>
      <c r="J218" s="70"/>
      <c r="K218" s="70"/>
      <c r="L218" s="70"/>
      <c r="M218" s="87"/>
    </row>
  </sheetData>
  <sheetProtection formatCells="0" formatRows="0" insertRows="0" deleteRows="0"/>
  <mergeCells count="32">
    <mergeCell ref="B191:M191"/>
    <mergeCell ref="B198:M198"/>
    <mergeCell ref="B205:M205"/>
    <mergeCell ref="B212:M212"/>
    <mergeCell ref="B149:M149"/>
    <mergeCell ref="B156:M156"/>
    <mergeCell ref="B163:M163"/>
    <mergeCell ref="B170:M170"/>
    <mergeCell ref="B177:M177"/>
    <mergeCell ref="B184:M184"/>
    <mergeCell ref="B142:M142"/>
    <mergeCell ref="H6:L6"/>
    <mergeCell ref="M6:M7"/>
    <mergeCell ref="B8:M8"/>
    <mergeCell ref="B18:M18"/>
    <mergeCell ref="B31:M31"/>
    <mergeCell ref="B44:M44"/>
    <mergeCell ref="B79:M79"/>
    <mergeCell ref="B114:M114"/>
    <mergeCell ref="B121:M121"/>
    <mergeCell ref="B128:M128"/>
    <mergeCell ref="B135:M135"/>
    <mergeCell ref="B2:M2"/>
    <mergeCell ref="B3:M3"/>
    <mergeCell ref="C4:K4"/>
    <mergeCell ref="B5:M5"/>
    <mergeCell ref="B6:B7"/>
    <mergeCell ref="C6:C7"/>
    <mergeCell ref="D6:D7"/>
    <mergeCell ref="E6:E7"/>
    <mergeCell ref="F6:F7"/>
    <mergeCell ref="G6:G7"/>
  </mergeCells>
  <dataValidations count="2">
    <dataValidation type="list" allowBlank="1" showInputMessage="1" showErrorMessage="1" sqref="M4">
      <formula1>_Datum</formula1>
    </dataValidation>
    <dataValidation type="list" allowBlank="1" showInputMessage="1" showErrorMessage="1" sqref="C4:K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ignoredErrors>
    <ignoredError sqref="H10" listDataValidation="1"/>
    <ignoredError sqref="B120 B123:B127 B130:B134 B137:B141 B144:B148 B151:B155 B158:B162 B165:B169 B172:B176 B179:B183 B186:B190 B193:B197 B200:B204 B207:B211 B214:B218" unlockedFormula="1"/>
  </ignoredError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6" operator="containsText" id="{986A69BC-93BA-4B21-8400-BA1A4336F8B2}">
            <xm:f>NOT(ISERROR(SEARCH("grau",H19)))</xm:f>
            <xm:f>"grau"</xm:f>
            <x14:dxf>
              <font>
                <color rgb="FF808080"/>
              </font>
              <fill>
                <patternFill>
                  <bgColor rgb="FF808080"/>
                </patternFill>
              </fill>
            </x14:dxf>
          </x14:cfRule>
          <xm:sqref>H80:L108 H32:L38 H19:L19 H45:L72</xm:sqref>
        </x14:conditionalFormatting>
        <x14:conditionalFormatting xmlns:xm="http://schemas.microsoft.com/office/excel/2006/main">
          <x14:cfRule type="containsText" priority="35" operator="containsText" id="{12543E67-7E9A-4594-80EE-C1D48EA12137}">
            <xm:f>NOT(ISERROR(SEARCH("grau",H10)))</xm:f>
            <xm:f>"grau"</xm:f>
            <x14:dxf>
              <font>
                <strike val="0"/>
                <color rgb="FF808080"/>
              </font>
              <fill>
                <patternFill>
                  <bgColor rgb="FF808080"/>
                </patternFill>
              </fill>
            </x14:dxf>
          </x14:cfRule>
          <xm:sqref>H10:L17</xm:sqref>
        </x14:conditionalFormatting>
        <x14:conditionalFormatting xmlns:xm="http://schemas.microsoft.com/office/excel/2006/main">
          <x14:cfRule type="containsText" priority="34" operator="containsText" id="{7265ABF6-95C1-457D-80E7-E5E3560B21C1}">
            <xm:f>NOT(ISERROR(SEARCH("grau",H115)))</xm:f>
            <xm:f>"grau"</xm:f>
            <x14:dxf>
              <font>
                <color rgb="FF808080"/>
              </font>
              <fill>
                <patternFill>
                  <bgColor rgb="FF808080"/>
                </patternFill>
              </fill>
            </x14:dxf>
          </x14:cfRule>
          <xm:sqref>H115:L115</xm:sqref>
        </x14:conditionalFormatting>
        <x14:conditionalFormatting xmlns:xm="http://schemas.microsoft.com/office/excel/2006/main">
          <x14:cfRule type="containsText" priority="33" operator="containsText" id="{994760C9-9BD2-45AC-9449-A891AE5E8885}">
            <xm:f>NOT(ISERROR(SEARCH("grau",H122)))</xm:f>
            <xm:f>"grau"</xm:f>
            <x14:dxf>
              <font>
                <color rgb="FF808080"/>
              </font>
              <fill>
                <patternFill>
                  <bgColor rgb="FF808080"/>
                </patternFill>
              </fill>
            </x14:dxf>
          </x14:cfRule>
          <xm:sqref>H122:L122</xm:sqref>
        </x14:conditionalFormatting>
        <x14:conditionalFormatting xmlns:xm="http://schemas.microsoft.com/office/excel/2006/main">
          <x14:cfRule type="containsText" priority="32" operator="containsText" id="{0B6ACD6B-1B8C-48B5-9ACF-0BFFB7F297EA}">
            <xm:f>NOT(ISERROR(SEARCH("grau",H129)))</xm:f>
            <xm:f>"grau"</xm:f>
            <x14:dxf>
              <font>
                <color rgb="FF808080"/>
              </font>
              <fill>
                <patternFill>
                  <bgColor rgb="FF808080"/>
                </patternFill>
              </fill>
            </x14:dxf>
          </x14:cfRule>
          <xm:sqref>H129:L129</xm:sqref>
        </x14:conditionalFormatting>
        <x14:conditionalFormatting xmlns:xm="http://schemas.microsoft.com/office/excel/2006/main">
          <x14:cfRule type="containsText" priority="31" operator="containsText" id="{2009129A-71EC-4D32-948A-C5ADE499E763}">
            <xm:f>NOT(ISERROR(SEARCH("grau",H136)))</xm:f>
            <xm:f>"grau"</xm:f>
            <x14:dxf>
              <font>
                <color rgb="FF808080"/>
              </font>
              <fill>
                <patternFill>
                  <bgColor rgb="FF808080"/>
                </patternFill>
              </fill>
            </x14:dxf>
          </x14:cfRule>
          <xm:sqref>H136:L136</xm:sqref>
        </x14:conditionalFormatting>
        <x14:conditionalFormatting xmlns:xm="http://schemas.microsoft.com/office/excel/2006/main">
          <x14:cfRule type="containsText" priority="30" operator="containsText" id="{5EB2B498-EDF2-4BDE-907A-6737FD2EA543}">
            <xm:f>NOT(ISERROR(SEARCH("grau",H143)))</xm:f>
            <xm:f>"grau"</xm:f>
            <x14:dxf>
              <font>
                <color rgb="FF808080"/>
              </font>
              <fill>
                <patternFill>
                  <bgColor rgb="FF808080"/>
                </patternFill>
              </fill>
            </x14:dxf>
          </x14:cfRule>
          <xm:sqref>H143:L143</xm:sqref>
        </x14:conditionalFormatting>
        <x14:conditionalFormatting xmlns:xm="http://schemas.microsoft.com/office/excel/2006/main">
          <x14:cfRule type="containsText" priority="29" operator="containsText" id="{CD7F5FCE-7A7B-47C1-87E9-75371A4BC1B0}">
            <xm:f>NOT(ISERROR(SEARCH("grau",H150)))</xm:f>
            <xm:f>"grau"</xm:f>
            <x14:dxf>
              <font>
                <color rgb="FF808080"/>
              </font>
              <fill>
                <patternFill>
                  <bgColor rgb="FF808080"/>
                </patternFill>
              </fill>
            </x14:dxf>
          </x14:cfRule>
          <xm:sqref>H150:L150</xm:sqref>
        </x14:conditionalFormatting>
        <x14:conditionalFormatting xmlns:xm="http://schemas.microsoft.com/office/excel/2006/main">
          <x14:cfRule type="containsText" priority="28" operator="containsText" id="{5481C6DE-CA69-454D-A0C3-D3FB4147D303}">
            <xm:f>NOT(ISERROR(SEARCH("grau",H20)))</xm:f>
            <xm:f>"grau"</xm:f>
            <x14:dxf>
              <font>
                <strike val="0"/>
                <color rgb="FF808080"/>
              </font>
              <fill>
                <patternFill>
                  <bgColor rgb="FF808080"/>
                </patternFill>
              </fill>
            </x14:dxf>
          </x14:cfRule>
          <xm:sqref>H20:L30</xm:sqref>
        </x14:conditionalFormatting>
        <x14:conditionalFormatting xmlns:xm="http://schemas.microsoft.com/office/excel/2006/main">
          <x14:cfRule type="containsText" priority="27" operator="containsText" id="{99B24A5C-92A4-4EDE-9AC1-0507ADF42FFA}">
            <xm:f>NOT(ISERROR(SEARCH("grau",H33)))</xm:f>
            <xm:f>"grau"</xm:f>
            <x14:dxf>
              <font>
                <strike val="0"/>
                <color rgb="FF808080"/>
              </font>
              <fill>
                <patternFill>
                  <bgColor rgb="FF808080"/>
                </patternFill>
              </fill>
            </x14:dxf>
          </x14:cfRule>
          <xm:sqref>H33:L43</xm:sqref>
        </x14:conditionalFormatting>
        <x14:conditionalFormatting xmlns:xm="http://schemas.microsoft.com/office/excel/2006/main">
          <x14:cfRule type="containsText" priority="26" operator="containsText" id="{0A0D5FC5-840D-4ED6-AF8D-2D6C8BF4AF46}">
            <xm:f>NOT(ISERROR(SEARCH("grau",H46)))</xm:f>
            <xm:f>"grau"</xm:f>
            <x14:dxf>
              <font>
                <strike val="0"/>
                <color rgb="FF808080"/>
              </font>
              <fill>
                <patternFill>
                  <bgColor rgb="FF808080"/>
                </patternFill>
              </fill>
            </x14:dxf>
          </x14:cfRule>
          <xm:sqref>H46:L78</xm:sqref>
        </x14:conditionalFormatting>
        <x14:conditionalFormatting xmlns:xm="http://schemas.microsoft.com/office/excel/2006/main">
          <x14:cfRule type="containsText" priority="25" operator="containsText" id="{DF02F2D6-27A3-414C-8F99-1074E0C79C1F}">
            <xm:f>NOT(ISERROR(SEARCH("grau",H81)))</xm:f>
            <xm:f>"grau"</xm:f>
            <x14:dxf>
              <font>
                <strike val="0"/>
                <color rgb="FF808080"/>
              </font>
              <fill>
                <patternFill>
                  <bgColor rgb="FF808080"/>
                </patternFill>
              </fill>
            </x14:dxf>
          </x14:cfRule>
          <xm:sqref>H81:L113</xm:sqref>
        </x14:conditionalFormatting>
        <x14:conditionalFormatting xmlns:xm="http://schemas.microsoft.com/office/excel/2006/main">
          <x14:cfRule type="containsText" priority="24" operator="containsText" id="{73FC0E6F-DF03-43DF-AAAB-6B9F9FF5315F}">
            <xm:f>NOT(ISERROR(SEARCH("grau",H116)))</xm:f>
            <xm:f>"grau"</xm:f>
            <x14:dxf>
              <font>
                <strike val="0"/>
                <color rgb="FF808080"/>
              </font>
              <fill>
                <patternFill>
                  <bgColor rgb="FF808080"/>
                </patternFill>
              </fill>
            </x14:dxf>
          </x14:cfRule>
          <xm:sqref>H116:L120</xm:sqref>
        </x14:conditionalFormatting>
        <x14:conditionalFormatting xmlns:xm="http://schemas.microsoft.com/office/excel/2006/main">
          <x14:cfRule type="containsText" priority="23" operator="containsText" id="{9FEF26D1-0ABD-42AE-A657-7DFB14217001}">
            <xm:f>NOT(ISERROR(SEARCH("grau",H123)))</xm:f>
            <xm:f>"grau"</xm:f>
            <x14:dxf>
              <font>
                <strike val="0"/>
                <color rgb="FF808080"/>
              </font>
              <fill>
                <patternFill>
                  <bgColor rgb="FF808080"/>
                </patternFill>
              </fill>
            </x14:dxf>
          </x14:cfRule>
          <xm:sqref>H123:L127</xm:sqref>
        </x14:conditionalFormatting>
        <x14:conditionalFormatting xmlns:xm="http://schemas.microsoft.com/office/excel/2006/main">
          <x14:cfRule type="containsText" priority="22" operator="containsText" id="{9564327F-9DE0-4E1A-929E-8B4B3CE5A5BF}">
            <xm:f>NOT(ISERROR(SEARCH("grau",H130)))</xm:f>
            <xm:f>"grau"</xm:f>
            <x14:dxf>
              <font>
                <strike val="0"/>
                <color rgb="FF808080"/>
              </font>
              <fill>
                <patternFill>
                  <bgColor rgb="FF808080"/>
                </patternFill>
              </fill>
            </x14:dxf>
          </x14:cfRule>
          <xm:sqref>H130:L134</xm:sqref>
        </x14:conditionalFormatting>
        <x14:conditionalFormatting xmlns:xm="http://schemas.microsoft.com/office/excel/2006/main">
          <x14:cfRule type="containsText" priority="21" operator="containsText" id="{DBA93648-5307-4484-A965-857238DDDEAA}">
            <xm:f>NOT(ISERROR(SEARCH("grau",H137)))</xm:f>
            <xm:f>"grau"</xm:f>
            <x14:dxf>
              <font>
                <strike val="0"/>
                <color rgb="FF808080"/>
              </font>
              <fill>
                <patternFill>
                  <bgColor rgb="FF808080"/>
                </patternFill>
              </fill>
            </x14:dxf>
          </x14:cfRule>
          <xm:sqref>H137:L141</xm:sqref>
        </x14:conditionalFormatting>
        <x14:conditionalFormatting xmlns:xm="http://schemas.microsoft.com/office/excel/2006/main">
          <x14:cfRule type="containsText" priority="20" operator="containsText" id="{35AD127A-B23A-4B33-909B-FECCCCA7DE4C}">
            <xm:f>NOT(ISERROR(SEARCH("grau",H144)))</xm:f>
            <xm:f>"grau"</xm:f>
            <x14:dxf>
              <font>
                <strike val="0"/>
                <color rgb="FF808080"/>
              </font>
              <fill>
                <patternFill>
                  <bgColor rgb="FF808080"/>
                </patternFill>
              </fill>
            </x14:dxf>
          </x14:cfRule>
          <xm:sqref>H144:L148</xm:sqref>
        </x14:conditionalFormatting>
        <x14:conditionalFormatting xmlns:xm="http://schemas.microsoft.com/office/excel/2006/main">
          <x14:cfRule type="containsText" priority="19" operator="containsText" id="{DB8588C9-D190-4E56-A2F3-1F3C9634C1A9}">
            <xm:f>NOT(ISERROR(SEARCH("grau",H151)))</xm:f>
            <xm:f>"grau"</xm:f>
            <x14:dxf>
              <font>
                <strike val="0"/>
                <color rgb="FF808080"/>
              </font>
              <fill>
                <patternFill>
                  <bgColor rgb="FF808080"/>
                </patternFill>
              </fill>
            </x14:dxf>
          </x14:cfRule>
          <xm:sqref>H151:L155</xm:sqref>
        </x14:conditionalFormatting>
        <x14:conditionalFormatting xmlns:xm="http://schemas.microsoft.com/office/excel/2006/main">
          <x14:cfRule type="containsText" priority="18" operator="containsText" id="{420F203B-AF5E-459A-A47E-252D8499F357}">
            <xm:f>NOT(ISERROR(SEARCH("grau",H157)))</xm:f>
            <xm:f>"grau"</xm:f>
            <x14:dxf>
              <font>
                <color rgb="FF808080"/>
              </font>
              <fill>
                <patternFill>
                  <bgColor rgb="FF808080"/>
                </patternFill>
              </fill>
            </x14:dxf>
          </x14:cfRule>
          <xm:sqref>H157:L157</xm:sqref>
        </x14:conditionalFormatting>
        <x14:conditionalFormatting xmlns:xm="http://schemas.microsoft.com/office/excel/2006/main">
          <x14:cfRule type="containsText" priority="17" operator="containsText" id="{B9178420-92C2-49BE-BA51-97F31E232905}">
            <xm:f>NOT(ISERROR(SEARCH("grau",H158)))</xm:f>
            <xm:f>"grau"</xm:f>
            <x14:dxf>
              <font>
                <strike val="0"/>
                <color rgb="FF808080"/>
              </font>
              <fill>
                <patternFill>
                  <bgColor rgb="FF808080"/>
                </patternFill>
              </fill>
            </x14:dxf>
          </x14:cfRule>
          <xm:sqref>H158:L162</xm:sqref>
        </x14:conditionalFormatting>
        <x14:conditionalFormatting xmlns:xm="http://schemas.microsoft.com/office/excel/2006/main">
          <x14:cfRule type="containsText" priority="16" operator="containsText" id="{2D1C2C27-A379-4732-9348-4E2CE908D678}">
            <xm:f>NOT(ISERROR(SEARCH("grau",H164)))</xm:f>
            <xm:f>"grau"</xm:f>
            <x14:dxf>
              <font>
                <color rgb="FF808080"/>
              </font>
              <fill>
                <patternFill>
                  <bgColor rgb="FF808080"/>
                </patternFill>
              </fill>
            </x14:dxf>
          </x14:cfRule>
          <xm:sqref>H164:L164</xm:sqref>
        </x14:conditionalFormatting>
        <x14:conditionalFormatting xmlns:xm="http://schemas.microsoft.com/office/excel/2006/main">
          <x14:cfRule type="containsText" priority="15" operator="containsText" id="{36EE6B36-5DE2-4B58-8F8C-DC1C25EF687E}">
            <xm:f>NOT(ISERROR(SEARCH("grau",H165)))</xm:f>
            <xm:f>"grau"</xm:f>
            <x14:dxf>
              <font>
                <strike val="0"/>
                <color rgb="FF808080"/>
              </font>
              <fill>
                <patternFill>
                  <bgColor rgb="FF808080"/>
                </patternFill>
              </fill>
            </x14:dxf>
          </x14:cfRule>
          <xm:sqref>H165:L169</xm:sqref>
        </x14:conditionalFormatting>
        <x14:conditionalFormatting xmlns:xm="http://schemas.microsoft.com/office/excel/2006/main">
          <x14:cfRule type="containsText" priority="14" operator="containsText" id="{FFDCAFF3-BAE4-407B-89B1-71B898458573}">
            <xm:f>NOT(ISERROR(SEARCH("grau",H171)))</xm:f>
            <xm:f>"grau"</xm:f>
            <x14:dxf>
              <font>
                <color rgb="FF808080"/>
              </font>
              <fill>
                <patternFill>
                  <bgColor rgb="FF808080"/>
                </patternFill>
              </fill>
            </x14:dxf>
          </x14:cfRule>
          <xm:sqref>H171:L171</xm:sqref>
        </x14:conditionalFormatting>
        <x14:conditionalFormatting xmlns:xm="http://schemas.microsoft.com/office/excel/2006/main">
          <x14:cfRule type="containsText" priority="13" operator="containsText" id="{1C916E1D-61FC-4AE7-B14C-CBEE13C13AA0}">
            <xm:f>NOT(ISERROR(SEARCH("grau",H172)))</xm:f>
            <xm:f>"grau"</xm:f>
            <x14:dxf>
              <font>
                <strike val="0"/>
                <color rgb="FF808080"/>
              </font>
              <fill>
                <patternFill>
                  <bgColor rgb="FF808080"/>
                </patternFill>
              </fill>
            </x14:dxf>
          </x14:cfRule>
          <xm:sqref>H172:L176</xm:sqref>
        </x14:conditionalFormatting>
        <x14:conditionalFormatting xmlns:xm="http://schemas.microsoft.com/office/excel/2006/main">
          <x14:cfRule type="containsText" priority="12" operator="containsText" id="{ADF5188D-5379-461C-B486-3892C6153794}">
            <xm:f>NOT(ISERROR(SEARCH("grau",H178)))</xm:f>
            <xm:f>"grau"</xm:f>
            <x14:dxf>
              <font>
                <color rgb="FF808080"/>
              </font>
              <fill>
                <patternFill>
                  <bgColor rgb="FF808080"/>
                </patternFill>
              </fill>
            </x14:dxf>
          </x14:cfRule>
          <xm:sqref>H178:L178</xm:sqref>
        </x14:conditionalFormatting>
        <x14:conditionalFormatting xmlns:xm="http://schemas.microsoft.com/office/excel/2006/main">
          <x14:cfRule type="containsText" priority="11" operator="containsText" id="{92645332-B0BB-4B06-AEDC-C04B0319AD73}">
            <xm:f>NOT(ISERROR(SEARCH("grau",H179)))</xm:f>
            <xm:f>"grau"</xm:f>
            <x14:dxf>
              <font>
                <strike val="0"/>
                <color rgb="FF808080"/>
              </font>
              <fill>
                <patternFill>
                  <bgColor rgb="FF808080"/>
                </patternFill>
              </fill>
            </x14:dxf>
          </x14:cfRule>
          <xm:sqref>H179:L183</xm:sqref>
        </x14:conditionalFormatting>
        <x14:conditionalFormatting xmlns:xm="http://schemas.microsoft.com/office/excel/2006/main">
          <x14:cfRule type="containsText" priority="10" operator="containsText" id="{9369D11F-8E2C-4D40-8E70-95C87ECC1FDB}">
            <xm:f>NOT(ISERROR(SEARCH("grau",H185)))</xm:f>
            <xm:f>"grau"</xm:f>
            <x14:dxf>
              <font>
                <color rgb="FF808080"/>
              </font>
              <fill>
                <patternFill>
                  <bgColor rgb="FF808080"/>
                </patternFill>
              </fill>
            </x14:dxf>
          </x14:cfRule>
          <xm:sqref>H185:L185</xm:sqref>
        </x14:conditionalFormatting>
        <x14:conditionalFormatting xmlns:xm="http://schemas.microsoft.com/office/excel/2006/main">
          <x14:cfRule type="containsText" priority="9" operator="containsText" id="{B54B0F4A-E279-4A13-BA51-B6BA6B364EB2}">
            <xm:f>NOT(ISERROR(SEARCH("grau",H186)))</xm:f>
            <xm:f>"grau"</xm:f>
            <x14:dxf>
              <font>
                <strike val="0"/>
                <color rgb="FF808080"/>
              </font>
              <fill>
                <patternFill>
                  <bgColor rgb="FF808080"/>
                </patternFill>
              </fill>
            </x14:dxf>
          </x14:cfRule>
          <xm:sqref>H186:L190</xm:sqref>
        </x14:conditionalFormatting>
        <x14:conditionalFormatting xmlns:xm="http://schemas.microsoft.com/office/excel/2006/main">
          <x14:cfRule type="containsText" priority="8" operator="containsText" id="{F4BD58FB-8672-4EB7-B07D-A7D541BB363B}">
            <xm:f>NOT(ISERROR(SEARCH("grau",H192)))</xm:f>
            <xm:f>"grau"</xm:f>
            <x14:dxf>
              <font>
                <color rgb="FF808080"/>
              </font>
              <fill>
                <patternFill>
                  <bgColor rgb="FF808080"/>
                </patternFill>
              </fill>
            </x14:dxf>
          </x14:cfRule>
          <xm:sqref>H192:L192</xm:sqref>
        </x14:conditionalFormatting>
        <x14:conditionalFormatting xmlns:xm="http://schemas.microsoft.com/office/excel/2006/main">
          <x14:cfRule type="containsText" priority="7" operator="containsText" id="{F06EA791-FF8F-4450-AA9F-345A98B20FC2}">
            <xm:f>NOT(ISERROR(SEARCH("grau",H193)))</xm:f>
            <xm:f>"grau"</xm:f>
            <x14:dxf>
              <font>
                <strike val="0"/>
                <color rgb="FF808080"/>
              </font>
              <fill>
                <patternFill>
                  <bgColor rgb="FF808080"/>
                </patternFill>
              </fill>
            </x14:dxf>
          </x14:cfRule>
          <xm:sqref>H193:L197</xm:sqref>
        </x14:conditionalFormatting>
        <x14:conditionalFormatting xmlns:xm="http://schemas.microsoft.com/office/excel/2006/main">
          <x14:cfRule type="containsText" priority="6" operator="containsText" id="{A1876589-0DC9-41B8-B21D-2BAC193B7EB1}">
            <xm:f>NOT(ISERROR(SEARCH("grau",H199)))</xm:f>
            <xm:f>"grau"</xm:f>
            <x14:dxf>
              <font>
                <color rgb="FF808080"/>
              </font>
              <fill>
                <patternFill>
                  <bgColor rgb="FF808080"/>
                </patternFill>
              </fill>
            </x14:dxf>
          </x14:cfRule>
          <xm:sqref>H199:L199</xm:sqref>
        </x14:conditionalFormatting>
        <x14:conditionalFormatting xmlns:xm="http://schemas.microsoft.com/office/excel/2006/main">
          <x14:cfRule type="containsText" priority="5" operator="containsText" id="{0B5C8C87-327C-4D1A-843B-C6E738A0EA27}">
            <xm:f>NOT(ISERROR(SEARCH("grau",H200)))</xm:f>
            <xm:f>"grau"</xm:f>
            <x14:dxf>
              <font>
                <strike val="0"/>
                <color rgb="FF808080"/>
              </font>
              <fill>
                <patternFill>
                  <bgColor rgb="FF808080"/>
                </patternFill>
              </fill>
            </x14:dxf>
          </x14:cfRule>
          <xm:sqref>H200:L204</xm:sqref>
        </x14:conditionalFormatting>
        <x14:conditionalFormatting xmlns:xm="http://schemas.microsoft.com/office/excel/2006/main">
          <x14:cfRule type="containsText" priority="4" operator="containsText" id="{B8BB40E8-B82C-42AC-9360-836DB7A284A7}">
            <xm:f>NOT(ISERROR(SEARCH("grau",H206)))</xm:f>
            <xm:f>"grau"</xm:f>
            <x14:dxf>
              <font>
                <color rgb="FF808080"/>
              </font>
              <fill>
                <patternFill>
                  <bgColor rgb="FF808080"/>
                </patternFill>
              </fill>
            </x14:dxf>
          </x14:cfRule>
          <xm:sqref>H206:L206</xm:sqref>
        </x14:conditionalFormatting>
        <x14:conditionalFormatting xmlns:xm="http://schemas.microsoft.com/office/excel/2006/main">
          <x14:cfRule type="containsText" priority="3" operator="containsText" id="{E3FBB087-12CF-41CB-A16B-DA5396159E3E}">
            <xm:f>NOT(ISERROR(SEARCH("grau",H207)))</xm:f>
            <xm:f>"grau"</xm:f>
            <x14:dxf>
              <font>
                <strike val="0"/>
                <color rgb="FF808080"/>
              </font>
              <fill>
                <patternFill>
                  <bgColor rgb="FF808080"/>
                </patternFill>
              </fill>
            </x14:dxf>
          </x14:cfRule>
          <xm:sqref>H207:L211</xm:sqref>
        </x14:conditionalFormatting>
        <x14:conditionalFormatting xmlns:xm="http://schemas.microsoft.com/office/excel/2006/main">
          <x14:cfRule type="containsText" priority="2" operator="containsText" id="{98A18E26-F880-4511-AFEA-AA501F64DBCA}">
            <xm:f>NOT(ISERROR(SEARCH("grau",H213)))</xm:f>
            <xm:f>"grau"</xm:f>
            <x14:dxf>
              <font>
                <color rgb="FF808080"/>
              </font>
              <fill>
                <patternFill>
                  <bgColor rgb="FF808080"/>
                </patternFill>
              </fill>
            </x14:dxf>
          </x14:cfRule>
          <xm:sqref>H213:L213</xm:sqref>
        </x14:conditionalFormatting>
        <x14:conditionalFormatting xmlns:xm="http://schemas.microsoft.com/office/excel/2006/main">
          <x14:cfRule type="containsText" priority="1" operator="containsText" id="{A270FAA6-97CC-4CBD-A2CF-FE6506F13C54}">
            <xm:f>NOT(ISERROR(SEARCH("grau",H214)))</xm:f>
            <xm:f>"grau"</xm:f>
            <x14:dxf>
              <font>
                <strike val="0"/>
                <color rgb="FF808080"/>
              </font>
              <fill>
                <patternFill>
                  <bgColor rgb="FF808080"/>
                </patternFill>
              </fill>
            </x14:dxf>
          </x14:cfRule>
          <xm:sqref>H214:L218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Einstellungen!$C$9:$C$11</xm:f>
          </x14:formula1>
          <xm:sqref>H143:L148 H19:L30 H32:L43 H45:L78 H80:L113 H115:L120 H122:L127 H129:L134 H136:L141 H150:L155 H157:L162 H164:L169 H171:L176 H178:L183 H185:L190 H192:L197 H199:L204 H206:L211 H213:L218 H9:L17</xm:sqref>
        </x14:dataValidation>
        <x14:dataValidation type="list" allowBlank="1" showInputMessage="1" showErrorMessage="1">
          <x14:formula1>
            <xm:f>Einstellungen!$C$10:$C$11</xm:f>
          </x14:formula1>
          <xm:sqref>I80:J108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F11" sqref="F11"/>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97" t="s">
        <v>74</v>
      </c>
      <c r="C2" s="197"/>
    </row>
    <row r="3" spans="2:5" ht="7.95" customHeight="1" x14ac:dyDescent="0.25">
      <c r="B3" s="8"/>
      <c r="C3" s="8"/>
    </row>
    <row r="4" spans="2:5" ht="55.95" customHeight="1" x14ac:dyDescent="0.25">
      <c r="B4" s="198" t="s">
        <v>38</v>
      </c>
      <c r="C4" s="198"/>
    </row>
    <row r="5" spans="2:5" ht="7.95" customHeight="1" x14ac:dyDescent="0.25">
      <c r="B5" s="9"/>
      <c r="C5" s="9"/>
    </row>
    <row r="6" spans="2:5" s="10" customFormat="1" ht="25.95" customHeight="1" x14ac:dyDescent="0.3">
      <c r="B6" s="75" t="s">
        <v>53</v>
      </c>
      <c r="C6" s="54" t="s">
        <v>77</v>
      </c>
    </row>
    <row r="7" spans="2:5" s="10" customFormat="1" ht="25.95" customHeight="1" x14ac:dyDescent="0.3">
      <c r="B7" s="75" t="s">
        <v>75</v>
      </c>
      <c r="C7" s="54" t="s">
        <v>78</v>
      </c>
    </row>
    <row r="8" spans="2:5" s="10" customFormat="1" ht="25.95" customHeight="1" x14ac:dyDescent="0.3">
      <c r="B8" s="74" t="s">
        <v>73</v>
      </c>
      <c r="C8" s="55" t="s">
        <v>280</v>
      </c>
    </row>
    <row r="9" spans="2:5" s="10" customFormat="1" ht="25.95" customHeight="1" x14ac:dyDescent="0.3">
      <c r="B9" s="61" t="s">
        <v>54</v>
      </c>
      <c r="C9" s="12" t="s">
        <v>14</v>
      </c>
    </row>
    <row r="10" spans="2:5" s="10" customFormat="1" ht="25.95" customHeight="1" x14ac:dyDescent="0.3">
      <c r="B10" s="11"/>
      <c r="C10" s="85"/>
      <c r="E10" s="76" t="s">
        <v>76</v>
      </c>
    </row>
    <row r="11" spans="2:5" s="10" customFormat="1" ht="25.95" customHeight="1" x14ac:dyDescent="0.3">
      <c r="B11" s="11"/>
      <c r="C11" s="84" t="s">
        <v>36</v>
      </c>
    </row>
    <row r="12" spans="2:5" s="10" customFormat="1" ht="25.95" customHeight="1" x14ac:dyDescent="0.3">
      <c r="B12" s="61" t="s">
        <v>55</v>
      </c>
      <c r="C12" s="78" t="s">
        <v>26</v>
      </c>
    </row>
    <row r="13" spans="2:5" s="10" customFormat="1" ht="25.95" customHeight="1" x14ac:dyDescent="0.3">
      <c r="B13" s="11"/>
      <c r="C13" s="78" t="s">
        <v>27</v>
      </c>
    </row>
    <row r="14" spans="2:5" s="10" customFormat="1" ht="25.95" customHeight="1" x14ac:dyDescent="0.3">
      <c r="B14" s="11"/>
      <c r="C14" s="78"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17</vt:i4>
      </vt:variant>
    </vt:vector>
  </HeadingPairs>
  <TitlesOfParts>
    <vt:vector size="22" baseType="lpstr">
      <vt:lpstr>Angaben zum Audit</vt:lpstr>
      <vt:lpstr>Maßnahmenplan</vt:lpstr>
      <vt:lpstr>Checkliste</vt:lpstr>
      <vt:lpstr>Erweiterung</vt:lpstr>
      <vt:lpstr>Einstellungen</vt:lpstr>
      <vt:lpstr>_Betriebsname</vt:lpstr>
      <vt:lpstr>_Betriesname</vt:lpstr>
      <vt:lpstr>_chbx</vt:lpstr>
      <vt:lpstr>_Datum</vt:lpstr>
      <vt:lpstr>_grau</vt:lpstr>
      <vt:lpstr>_KO</vt:lpstr>
      <vt:lpstr>_lAbw</vt:lpstr>
      <vt:lpstr>_RLV</vt:lpstr>
      <vt:lpstr>_sAbw</vt:lpstr>
      <vt:lpstr>Checkliste!Drucktitel</vt:lpstr>
      <vt:lpstr>Erweiterung!Drucktitel</vt:lpstr>
      <vt:lpstr>'Angaben zum Audit'!Print_Area</vt:lpstr>
      <vt:lpstr>Checkliste!Print_Area</vt:lpstr>
      <vt:lpstr>Erweiterung!Print_Area</vt:lpstr>
      <vt:lpstr>Maßnahmenplan!Print_Area</vt:lpstr>
      <vt:lpstr>Checkliste!Print_Titles</vt:lpstr>
      <vt:lpstr>Erweiterung!Print_Titles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2024-01-08T08:24:41Z</dcterms:modified>
</cp:coreProperties>
</file>